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6380" windowHeight="8124" tabRatio="862" activeTab="4"/>
  </bookViews>
  <sheets>
    <sheet name="wds_AV" sheetId="1" r:id="rId1"/>
    <sheet name="Graph_Secteurs" sheetId="2" r:id="rId2"/>
    <sheet name="Graph annuel" sheetId="3" r:id="rId3"/>
    <sheet name="Evolution" sheetId="4" r:id="rId4"/>
    <sheet name="Bilan" sheetId="5" r:id="rId5"/>
    <sheet name="En cours" sheetId="6" r:id="rId6"/>
    <sheet name="Vendu" sheetId="7" r:id="rId7"/>
    <sheet name="CX_jour" sheetId="8" r:id="rId8"/>
    <sheet name="DV-IDENTITY-0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>William GODRIE</author>
  </authors>
  <commentList>
    <comment ref="AB14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wMT- précédé de 
dFM-</t>
        </r>
      </text>
    </comment>
    <comment ref="AB16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wMT- précédé de 
dFM-</t>
        </r>
      </text>
    </comment>
    <comment ref="AB19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wMT- précédé de 
dFM-</t>
        </r>
      </text>
    </comment>
    <comment ref="AB25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Corrigé
wMT- précédé de 
dFM-</t>
        </r>
      </text>
    </comment>
    <comment ref="AD25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Corrigé
</t>
        </r>
      </text>
    </comment>
    <comment ref="N36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aurait pu être acheté en 22/042005 à 357
</t>
        </r>
      </text>
    </comment>
    <comment ref="AB36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VPdaily</t>
        </r>
      </text>
    </comment>
    <comment ref="AB51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VP</t>
        </r>
      </text>
    </comment>
    <comment ref="AB62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Vente avec wPouce-</t>
        </r>
      </text>
    </comment>
  </commentList>
</comments>
</file>

<file path=xl/comments6.xml><?xml version="1.0" encoding="utf-8"?>
<comments xmlns="http://schemas.openxmlformats.org/spreadsheetml/2006/main">
  <authors>
    <author>William GODRIE</author>
  </authors>
  <commentList>
    <comment ref="F17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wPouce
dFMachat</t>
        </r>
      </text>
    </comment>
    <comment ref="F21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wPouce
dFMachat</t>
        </r>
      </text>
    </comment>
    <comment ref="F22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wPouce
dFMachat</t>
        </r>
      </text>
    </comment>
    <comment ref="F24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wPouce
dFMachat</t>
        </r>
      </text>
    </comment>
    <comment ref="F25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Modifié date</t>
        </r>
      </text>
    </comment>
    <comment ref="F26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wPouce
dFMachat</t>
        </r>
      </text>
    </comment>
    <comment ref="F27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wPouce
dFMachat</t>
        </r>
      </text>
    </comment>
    <comment ref="F28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wPouce
dFM achat</t>
        </r>
      </text>
    </comment>
    <comment ref="F29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wPouce
dFMachat</t>
        </r>
      </text>
    </comment>
    <comment ref="F30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Modifié date</t>
        </r>
      </text>
    </comment>
    <comment ref="F34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Modifié date</t>
        </r>
      </text>
    </comment>
    <comment ref="F23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wPouce
dFMachat</t>
        </r>
      </text>
    </comment>
  </commentList>
</comments>
</file>

<file path=xl/comments7.xml><?xml version="1.0" encoding="utf-8"?>
<comments xmlns="http://schemas.openxmlformats.org/spreadsheetml/2006/main">
  <authors>
    <author>William GODRIE</author>
  </authors>
  <commentList>
    <comment ref="L14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wMT- précédé de 
dFM-</t>
        </r>
      </text>
    </comment>
    <comment ref="L16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wMT- précédé de 
dFM-</t>
        </r>
      </text>
    </comment>
    <comment ref="N25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Corrigé
</t>
        </r>
      </text>
    </comment>
    <comment ref="L25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Corrigé
wMT- précédé de 
dFM-</t>
        </r>
      </text>
    </comment>
    <comment ref="L54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VP</t>
        </r>
      </text>
    </comment>
    <comment ref="L65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Vente avec wPouce-</t>
        </r>
      </text>
    </comment>
    <comment ref="F36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aurait pu être acheté en 22/042005 à 357
</t>
        </r>
      </text>
    </comment>
    <comment ref="L19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wMT- précédé de 
dFM-</t>
        </r>
      </text>
    </comment>
    <comment ref="L32" authorId="0">
      <text>
        <r>
          <rPr>
            <b/>
            <sz val="9"/>
            <rFont val="Tahoma"/>
            <family val="2"/>
          </rPr>
          <t>William GODRIE:</t>
        </r>
        <r>
          <rPr>
            <sz val="9"/>
            <rFont val="Tahoma"/>
            <family val="2"/>
          </rPr>
          <t xml:space="preserve">
VP</t>
        </r>
      </text>
    </comment>
    <comment ref="L36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VPdaily</t>
        </r>
      </text>
    </comment>
    <comment ref="F71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Modifié date</t>
        </r>
      </text>
    </comment>
    <comment ref="F11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Modifié date</t>
        </r>
      </text>
    </comment>
  </commentList>
</comments>
</file>

<file path=xl/sharedStrings.xml><?xml version="1.0" encoding="utf-8"?>
<sst xmlns="http://schemas.openxmlformats.org/spreadsheetml/2006/main" count="767" uniqueCount="183">
  <si>
    <t>Portefeuille ECUREUIL_secteurs</t>
  </si>
  <si>
    <t>Mise à jour du :</t>
  </si>
  <si>
    <t>Bilan Brut</t>
  </si>
  <si>
    <t xml:space="preserve">                                       </t>
  </si>
  <si>
    <t>Pourcentages absolus</t>
  </si>
  <si>
    <t>Variations annuelles (en euro)%</t>
  </si>
  <si>
    <t>Folio %</t>
  </si>
  <si>
    <t>DJstoXX %</t>
  </si>
  <si>
    <t>Année</t>
  </si>
  <si>
    <t>Folio</t>
  </si>
  <si>
    <t>DJstoXX</t>
  </si>
  <si>
    <t>2012-2013</t>
  </si>
  <si>
    <t>Evolution du patrimoine ECUREUIL_Secteurs</t>
  </si>
  <si>
    <t>Evolution des indices</t>
  </si>
  <si>
    <t>Dates</t>
  </si>
  <si>
    <t>Nbre</t>
  </si>
  <si>
    <t>Capital</t>
  </si>
  <si>
    <t>Valeurs du patrimoine</t>
  </si>
  <si>
    <t>Indices</t>
  </si>
  <si>
    <t>Variation</t>
  </si>
  <si>
    <t>%DJ</t>
  </si>
  <si>
    <t>%USD</t>
  </si>
  <si>
    <t>d'</t>
  </si>
  <si>
    <t>Investi</t>
  </si>
  <si>
    <t>Total sans frais</t>
  </si>
  <si>
    <t>Total avec frais</t>
  </si>
  <si>
    <t>Liquide</t>
  </si>
  <si>
    <t>EUR</t>
  </si>
  <si>
    <t>USD</t>
  </si>
  <si>
    <t>%</t>
  </si>
  <si>
    <t>achats</t>
  </si>
  <si>
    <t>Return</t>
  </si>
  <si>
    <t>Stx600</t>
  </si>
  <si>
    <t>SP500</t>
  </si>
  <si>
    <t>DJ Ind</t>
  </si>
  <si>
    <r>
      <t xml:space="preserve">BILAN </t>
    </r>
    <r>
      <rPr>
        <b/>
        <i/>
        <sz val="9"/>
        <rFont val="Arial"/>
        <family val="2"/>
      </rPr>
      <t>au</t>
    </r>
  </si>
  <si>
    <t>Début des investissements :</t>
  </si>
  <si>
    <t>Nombre de jours de fonctionnement en régime</t>
  </si>
  <si>
    <t>Etat du patrimoine</t>
  </si>
  <si>
    <t>Return des capitaux investis</t>
  </si>
  <si>
    <t>Mouvements</t>
  </si>
  <si>
    <t>Total</t>
  </si>
  <si>
    <t>% absolu</t>
  </si>
  <si>
    <t>%annuel actualisé</t>
  </si>
  <si>
    <t>Excess return</t>
  </si>
  <si>
    <t>% Frais   par transaction</t>
  </si>
  <si>
    <t>% vs   DJ STOXX</t>
  </si>
  <si>
    <t>Sans frais</t>
  </si>
  <si>
    <t>Avec frais</t>
  </si>
  <si>
    <t>Titres en portefeuille (En cours)</t>
  </si>
  <si>
    <t>Titres vendus</t>
  </si>
  <si>
    <t>Quantité</t>
  </si>
  <si>
    <t>Bilan au:</t>
  </si>
  <si>
    <t>EnCours</t>
  </si>
  <si>
    <t>ACHAT</t>
  </si>
  <si>
    <t>Ventes</t>
  </si>
  <si>
    <t>% an</t>
  </si>
  <si>
    <t>%Absol</t>
  </si>
  <si>
    <t>Réussite</t>
  </si>
  <si>
    <t>Nombre</t>
  </si>
  <si>
    <t>ACHATS</t>
  </si>
  <si>
    <t>JOUR</t>
  </si>
  <si>
    <t>RETURNS</t>
  </si>
  <si>
    <t>EUR/J</t>
  </si>
  <si>
    <t xml:space="preserve">Gain Perte </t>
  </si>
  <si>
    <t>EURO</t>
  </si>
  <si>
    <t xml:space="preserve">           EUR</t>
  </si>
  <si>
    <t>% / an</t>
  </si>
  <si>
    <t>en EUR</t>
  </si>
  <si>
    <t>en dev</t>
  </si>
  <si>
    <t>Nbre jours</t>
  </si>
  <si>
    <t>Devise</t>
  </si>
  <si>
    <t>CHF</t>
  </si>
  <si>
    <t>GBP</t>
  </si>
  <si>
    <t>CAD</t>
  </si>
  <si>
    <t>S&amp;P 500</t>
  </si>
  <si>
    <t>DJ STxx</t>
  </si>
  <si>
    <t>dev/EUR</t>
  </si>
  <si>
    <t>Détails</t>
  </si>
  <si>
    <t>Ticker</t>
  </si>
  <si>
    <t>Tracker</t>
  </si>
  <si>
    <t>Date</t>
  </si>
  <si>
    <t>Qté</t>
  </si>
  <si>
    <t>Cav</t>
  </si>
  <si>
    <t>Tot_EU</t>
  </si>
  <si>
    <t>Frais</t>
  </si>
  <si>
    <t>Cjour</t>
  </si>
  <si>
    <t>Nj</t>
  </si>
  <si>
    <t xml:space="preserve">% </t>
  </si>
  <si>
    <t>%/an</t>
  </si>
  <si>
    <t>EUR/j</t>
  </si>
  <si>
    <t>Europe</t>
  </si>
  <si>
    <t>AUT Auto</t>
  </si>
  <si>
    <t>BNK Banques</t>
  </si>
  <si>
    <t>BAS Bases</t>
  </si>
  <si>
    <t>CHM Chimie</t>
  </si>
  <si>
    <t>CST Constr</t>
  </si>
  <si>
    <t>FOO Alim</t>
  </si>
  <si>
    <t>FIN Finance</t>
  </si>
  <si>
    <t>HLT Santé</t>
  </si>
  <si>
    <t>IND Industrie</t>
  </si>
  <si>
    <t>INS Assur</t>
  </si>
  <si>
    <t>MDA Media</t>
  </si>
  <si>
    <t>OIL Energie</t>
  </si>
  <si>
    <t>PHG Non Cycliq</t>
  </si>
  <si>
    <t>RTA Distri</t>
  </si>
  <si>
    <t>TNO Techno</t>
  </si>
  <si>
    <t>TEL Telecom</t>
  </si>
  <si>
    <t>TRV Cycliq</t>
  </si>
  <si>
    <t>UTI Utility</t>
  </si>
  <si>
    <t>&lt;=Moyennes=&gt;</t>
  </si>
  <si>
    <t>Security Name</t>
  </si>
  <si>
    <t>Cj</t>
  </si>
  <si>
    <t>SL</t>
  </si>
  <si>
    <t>MMJJ_</t>
  </si>
  <si>
    <t>Ticker Symbol</t>
  </si>
  <si>
    <t>Location</t>
  </si>
  <si>
    <t>Synthèse</t>
  </si>
  <si>
    <t>VENTES (EUR)</t>
  </si>
  <si>
    <t>Gain Perte</t>
  </si>
  <si>
    <t>de titres</t>
  </si>
  <si>
    <t>Moy</t>
  </si>
  <si>
    <t xml:space="preserve">Frais </t>
  </si>
  <si>
    <t>% absolus</t>
  </si>
  <si>
    <t>jours</t>
  </si>
  <si>
    <t>Avec Frais</t>
  </si>
  <si>
    <t>Change</t>
  </si>
  <si>
    <t>NOM</t>
  </si>
  <si>
    <t>VENTES</t>
  </si>
  <si>
    <t>Tot USD</t>
  </si>
  <si>
    <t>auto</t>
  </si>
  <si>
    <t>Banques</t>
  </si>
  <si>
    <t>Bases</t>
  </si>
  <si>
    <t>Chimie</t>
  </si>
  <si>
    <t>Construct</t>
  </si>
  <si>
    <t>Alim</t>
  </si>
  <si>
    <t>Finance</t>
  </si>
  <si>
    <t>Santé</t>
  </si>
  <si>
    <t>Industrie</t>
  </si>
  <si>
    <t>Assurances</t>
  </si>
  <si>
    <t>Media</t>
  </si>
  <si>
    <t>Energie</t>
  </si>
  <si>
    <t>Non Cycliq</t>
  </si>
  <si>
    <t>Distri</t>
  </si>
  <si>
    <t>Techno</t>
  </si>
  <si>
    <t>Telecom</t>
  </si>
  <si>
    <t>Cycliq</t>
  </si>
  <si>
    <t>Utility</t>
  </si>
  <si>
    <t>AAAAAHJfb5I=</t>
  </si>
  <si>
    <t>AAAAAHJfb5M=</t>
  </si>
  <si>
    <t>AAAAADzpzxg=</t>
  </si>
  <si>
    <t>AAAAAH779wA=</t>
  </si>
  <si>
    <t>AAAAAGnZ/gA=</t>
  </si>
  <si>
    <t>AAAAAGe/dwA=</t>
  </si>
  <si>
    <t>AAAAAC+/+wA=</t>
  </si>
  <si>
    <t>AAAAAD+sJgA=</t>
  </si>
  <si>
    <t>AAAAADf3YRg=</t>
  </si>
  <si>
    <t>AAAAAF9VtgA=</t>
  </si>
  <si>
    <t>AAAAAG/yHwA=</t>
  </si>
  <si>
    <t>AAAAAF/v7gA=</t>
  </si>
  <si>
    <t>AAAAAGW//wA=</t>
  </si>
  <si>
    <t>AAAAAH7++wA=</t>
  </si>
  <si>
    <t>Mode=231 Weekly</t>
  </si>
  <si>
    <t>ECUREUIL_2008_WDS</t>
  </si>
  <si>
    <t>ECUREUIL_2008_WDS__ Encours</t>
  </si>
  <si>
    <t>ECUREUIL_2008_XDS_Titres vendus</t>
  </si>
  <si>
    <t>STRATEGIE BARAKA     ECUREUIL_2008_WDS</t>
  </si>
  <si>
    <t>Annual</t>
  </si>
  <si>
    <t>Pd</t>
  </si>
  <si>
    <t>Bd</t>
  </si>
  <si>
    <t>Pw</t>
  </si>
  <si>
    <t>Bw</t>
  </si>
  <si>
    <t>CLd</t>
  </si>
  <si>
    <t>CLw</t>
  </si>
  <si>
    <t>FRd</t>
  </si>
  <si>
    <t>FRw</t>
  </si>
  <si>
    <t>DAILY</t>
  </si>
  <si>
    <t>WEEKLY</t>
  </si>
  <si>
    <t>V</t>
  </si>
  <si>
    <t>R</t>
  </si>
  <si>
    <t>VP</t>
  </si>
  <si>
    <t>?</t>
  </si>
  <si>
    <t>RETAIL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</si>
</sst>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#,##0.0"/>
    <numFmt numFmtId="174" formatCode="0.0%"/>
    <numFmt numFmtId="175" formatCode="dd\-mmm\-yy;@"/>
    <numFmt numFmtId="176" formatCode="0.000"/>
    <numFmt numFmtId="177" formatCode="#,##0_ ;[Red]\-#,##0\ "/>
    <numFmt numFmtId="178" formatCode="0_ ;[Red]\-0\ "/>
    <numFmt numFmtId="179" formatCode="0.0_ ;[Red]\-0.0\ "/>
    <numFmt numFmtId="180" formatCode="0;[Red]0"/>
    <numFmt numFmtId="181" formatCode="#,##0.000"/>
    <numFmt numFmtId="182" formatCode="#,##0.00000"/>
    <numFmt numFmtId="183" formatCode="h:mm"/>
    <numFmt numFmtId="184" formatCode="0.0000"/>
    <numFmt numFmtId="185" formatCode="dd/mm/yyyy"/>
  </numFmts>
  <fonts count="9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sz val="14"/>
      <color indexed="9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4"/>
      <color indexed="17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7"/>
      <name val="Arial"/>
      <family val="2"/>
    </font>
    <font>
      <sz val="14"/>
      <color indexed="27"/>
      <name val="Arial"/>
      <family val="2"/>
    </font>
    <font>
      <b/>
      <sz val="14"/>
      <color indexed="27"/>
      <name val="Arial"/>
      <family val="2"/>
    </font>
    <font>
      <sz val="8"/>
      <color indexed="10"/>
      <name val="Arial Narrow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57"/>
      <name val="Arial"/>
      <family val="2"/>
    </font>
    <font>
      <sz val="8"/>
      <name val="Arial"/>
      <family val="2"/>
    </font>
    <font>
      <b/>
      <i/>
      <sz val="10"/>
      <color indexed="30"/>
      <name val="Arial"/>
      <family val="2"/>
    </font>
    <font>
      <b/>
      <sz val="16"/>
      <color indexed="30"/>
      <name val="Arial Narrow"/>
      <family val="2"/>
    </font>
    <font>
      <sz val="8"/>
      <name val="Arial Narrow"/>
      <family val="2"/>
    </font>
    <font>
      <b/>
      <i/>
      <sz val="12"/>
      <name val="Arial Narrow"/>
      <family val="2"/>
    </font>
    <font>
      <b/>
      <sz val="10"/>
      <color indexed="12"/>
      <name val="Arial Narrow"/>
      <family val="2"/>
    </font>
    <font>
      <b/>
      <i/>
      <sz val="9"/>
      <name val="Arial Narrow"/>
      <family val="2"/>
    </font>
    <font>
      <b/>
      <sz val="14"/>
      <color indexed="30"/>
      <name val="Arial Narrow"/>
      <family val="2"/>
    </font>
    <font>
      <i/>
      <sz val="8"/>
      <name val="Arial Narrow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5.45"/>
      <color indexed="8"/>
      <name val="Arial"/>
      <family val="0"/>
    </font>
    <font>
      <b/>
      <sz val="9"/>
      <color indexed="3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7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74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" fillId="25" borderId="0" applyNumberFormat="0" applyBorder="0" applyAlignment="0" applyProtection="0"/>
    <xf numFmtId="0" fontId="74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" fillId="25" borderId="0" applyNumberFormat="0" applyBorder="0" applyAlignment="0" applyProtection="0"/>
    <xf numFmtId="0" fontId="7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74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2" fillId="3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4" borderId="1" applyNumberFormat="0" applyAlignment="0" applyProtection="0"/>
    <xf numFmtId="0" fontId="77" fillId="0" borderId="2" applyNumberFormat="0" applyFill="0" applyAlignment="0" applyProtection="0"/>
    <xf numFmtId="0" fontId="0" fillId="35" borderId="3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78" fillId="39" borderId="1" applyNumberFormat="0" applyAlignment="0" applyProtection="0"/>
    <xf numFmtId="0" fontId="7" fillId="40" borderId="4" applyNumberFormat="0" applyAlignment="0" applyProtection="0"/>
    <xf numFmtId="0" fontId="79" fillId="41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0" fillId="42" borderId="0" applyNumberFormat="0" applyBorder="0" applyAlignment="0" applyProtection="0"/>
    <xf numFmtId="9" fontId="0" fillId="0" borderId="0" applyFill="0" applyBorder="0" applyAlignment="0" applyProtection="0"/>
    <xf numFmtId="0" fontId="81" fillId="43" borderId="0" applyNumberFormat="0" applyBorder="0" applyAlignment="0" applyProtection="0"/>
    <xf numFmtId="0" fontId="82" fillId="34" borderId="5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44" borderId="10" applyNumberFormat="0" applyAlignment="0" applyProtection="0"/>
  </cellStyleXfs>
  <cellXfs count="479"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45" borderId="14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vertical="center"/>
    </xf>
    <xf numFmtId="0" fontId="0" fillId="45" borderId="15" xfId="0" applyFill="1" applyBorder="1" applyAlignment="1">
      <alignment/>
    </xf>
    <xf numFmtId="15" fontId="6" fillId="45" borderId="15" xfId="0" applyNumberFormat="1" applyFont="1" applyFill="1" applyBorder="1" applyAlignment="1">
      <alignment horizontal="left" vertical="center"/>
    </xf>
    <xf numFmtId="15" fontId="6" fillId="45" borderId="15" xfId="0" applyNumberFormat="1" applyFont="1" applyFill="1" applyBorder="1" applyAlignment="1">
      <alignment vertical="center"/>
    </xf>
    <xf numFmtId="0" fontId="0" fillId="45" borderId="16" xfId="0" applyFill="1" applyBorder="1" applyAlignment="1">
      <alignment/>
    </xf>
    <xf numFmtId="0" fontId="7" fillId="40" borderId="4" xfId="65" applyNumberFormat="1" applyAlignment="1" applyProtection="1">
      <alignment/>
      <protection/>
    </xf>
    <xf numFmtId="0" fontId="5" fillId="45" borderId="14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31" borderId="0" xfId="0" applyFont="1" applyFill="1" applyAlignment="1">
      <alignment/>
    </xf>
    <xf numFmtId="0" fontId="8" fillId="31" borderId="0" xfId="0" applyFont="1" applyFill="1" applyAlignment="1">
      <alignment/>
    </xf>
    <xf numFmtId="0" fontId="8" fillId="31" borderId="0" xfId="0" applyFont="1" applyFill="1" applyAlignment="1">
      <alignment horizontal="center"/>
    </xf>
    <xf numFmtId="17" fontId="0" fillId="31" borderId="0" xfId="0" applyNumberFormat="1" applyFill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49" fontId="8" fillId="46" borderId="0" xfId="0" applyNumberFormat="1" applyFont="1" applyFill="1" applyBorder="1" applyAlignment="1">
      <alignment horizontal="center"/>
    </xf>
    <xf numFmtId="174" fontId="8" fillId="46" borderId="0" xfId="0" applyNumberFormat="1" applyFont="1" applyFill="1" applyBorder="1" applyAlignment="1">
      <alignment horizontal="center"/>
    </xf>
    <xf numFmtId="0" fontId="10" fillId="22" borderId="17" xfId="0" applyFont="1" applyFill="1" applyBorder="1" applyAlignment="1">
      <alignment horizontal="center"/>
    </xf>
    <xf numFmtId="3" fontId="10" fillId="22" borderId="12" xfId="0" applyNumberFormat="1" applyFont="1" applyFill="1" applyBorder="1" applyAlignment="1">
      <alignment horizontal="center"/>
    </xf>
    <xf numFmtId="3" fontId="10" fillId="22" borderId="14" xfId="0" applyNumberFormat="1" applyFont="1" applyFill="1" applyBorder="1" applyAlignment="1">
      <alignment horizontal="center"/>
    </xf>
    <xf numFmtId="3" fontId="10" fillId="22" borderId="13" xfId="0" applyNumberFormat="1" applyFont="1" applyFill="1" applyBorder="1" applyAlignment="1">
      <alignment horizontal="center"/>
    </xf>
    <xf numFmtId="0" fontId="8" fillId="22" borderId="18" xfId="0" applyFont="1" applyFill="1" applyBorder="1" applyAlignment="1">
      <alignment horizontal="center"/>
    </xf>
    <xf numFmtId="0" fontId="10" fillId="22" borderId="18" xfId="0" applyFont="1" applyFill="1" applyBorder="1" applyAlignment="1">
      <alignment horizontal="center"/>
    </xf>
    <xf numFmtId="0" fontId="8" fillId="47" borderId="19" xfId="0" applyFont="1" applyFill="1" applyBorder="1" applyAlignment="1">
      <alignment horizontal="center"/>
    </xf>
    <xf numFmtId="14" fontId="14" fillId="22" borderId="20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14" fontId="14" fillId="22" borderId="22" xfId="0" applyNumberFormat="1" applyFont="1" applyFill="1" applyBorder="1" applyAlignment="1">
      <alignment horizontal="center"/>
    </xf>
    <xf numFmtId="0" fontId="10" fillId="22" borderId="23" xfId="0" applyFont="1" applyFill="1" applyBorder="1" applyAlignment="1">
      <alignment horizontal="center"/>
    </xf>
    <xf numFmtId="0" fontId="10" fillId="22" borderId="23" xfId="0" applyFont="1" applyFill="1" applyBorder="1" applyAlignment="1">
      <alignment horizontal="center" vertical="center"/>
    </xf>
    <xf numFmtId="0" fontId="10" fillId="47" borderId="16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14" fontId="15" fillId="22" borderId="24" xfId="0" applyNumberFormat="1" applyFont="1" applyFill="1" applyBorder="1" applyAlignment="1">
      <alignment horizontal="center"/>
    </xf>
    <xf numFmtId="14" fontId="15" fillId="0" borderId="21" xfId="0" applyNumberFormat="1" applyFont="1" applyFill="1" applyBorder="1" applyAlignment="1">
      <alignment horizontal="center"/>
    </xf>
    <xf numFmtId="14" fontId="15" fillId="22" borderId="25" xfId="0" applyNumberFormat="1" applyFont="1" applyFill="1" applyBorder="1" applyAlignment="1">
      <alignment horizontal="center"/>
    </xf>
    <xf numFmtId="14" fontId="15" fillId="22" borderId="26" xfId="0" applyNumberFormat="1" applyFont="1" applyFill="1" applyBorder="1" applyAlignment="1">
      <alignment horizontal="center"/>
    </xf>
    <xf numFmtId="175" fontId="16" fillId="47" borderId="17" xfId="0" applyNumberFormat="1" applyFont="1" applyFill="1" applyBorder="1" applyAlignment="1">
      <alignment horizontal="left"/>
    </xf>
    <xf numFmtId="3" fontId="11" fillId="47" borderId="11" xfId="0" applyNumberFormat="1" applyFont="1" applyFill="1" applyBorder="1" applyAlignment="1">
      <alignment horizontal="center"/>
    </xf>
    <xf numFmtId="3" fontId="11" fillId="33" borderId="17" xfId="0" applyNumberFormat="1" applyFont="1" applyFill="1" applyBorder="1" applyAlignment="1">
      <alignment horizontal="center"/>
    </xf>
    <xf numFmtId="3" fontId="11" fillId="47" borderId="13" xfId="0" applyNumberFormat="1" applyFont="1" applyFill="1" applyBorder="1" applyAlignment="1">
      <alignment horizontal="center"/>
    </xf>
    <xf numFmtId="174" fontId="11" fillId="47" borderId="13" xfId="0" applyNumberFormat="1" applyFont="1" applyFill="1" applyBorder="1" applyAlignment="1">
      <alignment horizontal="center"/>
    </xf>
    <xf numFmtId="3" fontId="12" fillId="33" borderId="17" xfId="0" applyNumberFormat="1" applyFont="1" applyFill="1" applyBorder="1" applyAlignment="1">
      <alignment horizontal="center"/>
    </xf>
    <xf numFmtId="174" fontId="12" fillId="33" borderId="17" xfId="0" applyNumberFormat="1" applyFont="1" applyFill="1" applyBorder="1" applyAlignment="1">
      <alignment horizontal="center"/>
    </xf>
    <xf numFmtId="3" fontId="8" fillId="46" borderId="11" xfId="0" applyNumberFormat="1" applyFont="1" applyFill="1" applyBorder="1" applyAlignment="1">
      <alignment horizontal="center"/>
    </xf>
    <xf numFmtId="1" fontId="0" fillId="46" borderId="27" xfId="0" applyNumberFormat="1" applyFont="1" applyFill="1" applyBorder="1" applyAlignment="1">
      <alignment/>
    </xf>
    <xf numFmtId="176" fontId="17" fillId="0" borderId="28" xfId="0" applyNumberFormat="1" applyFont="1" applyBorder="1" applyAlignment="1">
      <alignment/>
    </xf>
    <xf numFmtId="174" fontId="16" fillId="46" borderId="0" xfId="0" applyNumberFormat="1" applyFont="1" applyFill="1" applyBorder="1" applyAlignment="1">
      <alignment horizontal="center"/>
    </xf>
    <xf numFmtId="174" fontId="16" fillId="46" borderId="27" xfId="0" applyNumberFormat="1" applyFont="1" applyFill="1" applyBorder="1" applyAlignment="1">
      <alignment horizontal="center"/>
    </xf>
    <xf numFmtId="175" fontId="16" fillId="47" borderId="21" xfId="0" applyNumberFormat="1" applyFont="1" applyFill="1" applyBorder="1" applyAlignment="1">
      <alignment horizontal="left"/>
    </xf>
    <xf numFmtId="3" fontId="11" fillId="47" borderId="21" xfId="0" applyNumberFormat="1" applyFont="1" applyFill="1" applyBorder="1" applyAlignment="1">
      <alignment horizontal="center"/>
    </xf>
    <xf numFmtId="3" fontId="11" fillId="33" borderId="21" xfId="0" applyNumberFormat="1" applyFont="1" applyFill="1" applyBorder="1" applyAlignment="1">
      <alignment horizontal="center"/>
    </xf>
    <xf numFmtId="174" fontId="11" fillId="47" borderId="21" xfId="0" applyNumberFormat="1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174" fontId="12" fillId="33" borderId="21" xfId="0" applyNumberFormat="1" applyFont="1" applyFill="1" applyBorder="1" applyAlignment="1">
      <alignment horizontal="center"/>
    </xf>
    <xf numFmtId="3" fontId="8" fillId="46" borderId="21" xfId="0" applyNumberFormat="1" applyFont="1" applyFill="1" applyBorder="1" applyAlignment="1">
      <alignment horizontal="center"/>
    </xf>
    <xf numFmtId="1" fontId="0" fillId="46" borderId="21" xfId="0" applyNumberFormat="1" applyFont="1" applyFill="1" applyBorder="1" applyAlignment="1">
      <alignment/>
    </xf>
    <xf numFmtId="176" fontId="17" fillId="0" borderId="21" xfId="0" applyNumberFormat="1" applyFont="1" applyBorder="1" applyAlignment="1">
      <alignment/>
    </xf>
    <xf numFmtId="174" fontId="16" fillId="46" borderId="21" xfId="0" applyNumberFormat="1" applyFont="1" applyFill="1" applyBorder="1" applyAlignment="1">
      <alignment horizontal="center"/>
    </xf>
    <xf numFmtId="15" fontId="10" fillId="46" borderId="21" xfId="0" applyNumberFormat="1" applyFont="1" applyFill="1" applyBorder="1" applyAlignment="1">
      <alignment horizontal="left"/>
    </xf>
    <xf numFmtId="3" fontId="0" fillId="46" borderId="21" xfId="0" applyNumberFormat="1" applyFont="1" applyFill="1" applyBorder="1" applyAlignment="1">
      <alignment horizontal="center"/>
    </xf>
    <xf numFmtId="174" fontId="0" fillId="46" borderId="21" xfId="0" applyNumberFormat="1" applyFont="1" applyFill="1" applyBorder="1" applyAlignment="1">
      <alignment horizontal="center"/>
    </xf>
    <xf numFmtId="174" fontId="17" fillId="46" borderId="21" xfId="0" applyNumberFormat="1" applyFont="1" applyFill="1" applyBorder="1" applyAlignment="1">
      <alignment horizontal="center"/>
    </xf>
    <xf numFmtId="3" fontId="0" fillId="46" borderId="21" xfId="0" applyNumberFormat="1" applyFill="1" applyBorder="1" applyAlignment="1">
      <alignment horizontal="center"/>
    </xf>
    <xf numFmtId="176" fontId="17" fillId="0" borderId="21" xfId="0" applyNumberFormat="1" applyFont="1" applyFill="1" applyBorder="1" applyAlignment="1">
      <alignment/>
    </xf>
    <xf numFmtId="174" fontId="18" fillId="46" borderId="21" xfId="0" applyNumberFormat="1" applyFont="1" applyFill="1" applyBorder="1" applyAlignment="1">
      <alignment horizontal="center"/>
    </xf>
    <xf numFmtId="0" fontId="0" fillId="46" borderId="0" xfId="0" applyFill="1" applyAlignment="1">
      <alignment/>
    </xf>
    <xf numFmtId="0" fontId="20" fillId="22" borderId="29" xfId="0" applyFont="1" applyFill="1" applyBorder="1" applyAlignment="1">
      <alignment horizontal="center" vertical="center"/>
    </xf>
    <xf numFmtId="3" fontId="9" fillId="25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3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22" borderId="27" xfId="0" applyFont="1" applyFill="1" applyBorder="1" applyAlignment="1">
      <alignment horizontal="center"/>
    </xf>
    <xf numFmtId="0" fontId="12" fillId="28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5" fontId="10" fillId="0" borderId="18" xfId="0" applyNumberFormat="1" applyFont="1" applyFill="1" applyBorder="1" applyAlignment="1">
      <alignment horizontal="center"/>
    </xf>
    <xf numFmtId="0" fontId="10" fillId="22" borderId="29" xfId="0" applyFont="1" applyFill="1" applyBorder="1" applyAlignment="1">
      <alignment horizontal="center"/>
    </xf>
    <xf numFmtId="0" fontId="10" fillId="22" borderId="27" xfId="0" applyFont="1" applyFill="1" applyBorder="1" applyAlignment="1">
      <alignment horizontal="center"/>
    </xf>
    <xf numFmtId="0" fontId="10" fillId="28" borderId="29" xfId="0" applyFont="1" applyFill="1" applyBorder="1" applyAlignment="1">
      <alignment horizontal="center"/>
    </xf>
    <xf numFmtId="0" fontId="27" fillId="28" borderId="19" xfId="0" applyFont="1" applyFill="1" applyBorder="1" applyAlignment="1">
      <alignment horizontal="center" vertical="center" wrapText="1"/>
    </xf>
    <xf numFmtId="0" fontId="27" fillId="28" borderId="14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10" fillId="47" borderId="17" xfId="0" applyFont="1" applyFill="1" applyBorder="1" applyAlignment="1">
      <alignment horizontal="center"/>
    </xf>
    <xf numFmtId="3" fontId="11" fillId="47" borderId="17" xfId="0" applyNumberFormat="1" applyFont="1" applyFill="1" applyBorder="1" applyAlignment="1">
      <alignment horizontal="center"/>
    </xf>
    <xf numFmtId="177" fontId="8" fillId="47" borderId="18" xfId="0" applyNumberFormat="1" applyFont="1" applyFill="1" applyBorder="1" applyAlignment="1">
      <alignment horizontal="center"/>
    </xf>
    <xf numFmtId="174" fontId="28" fillId="0" borderId="18" xfId="0" applyNumberFormat="1" applyFont="1" applyFill="1" applyBorder="1" applyAlignment="1">
      <alignment horizontal="center"/>
    </xf>
    <xf numFmtId="174" fontId="28" fillId="0" borderId="27" xfId="0" applyNumberFormat="1" applyFont="1" applyFill="1" applyBorder="1" applyAlignment="1">
      <alignment horizontal="center"/>
    </xf>
    <xf numFmtId="172" fontId="9" fillId="0" borderId="21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74" fontId="28" fillId="47" borderId="21" xfId="0" applyNumberFormat="1" applyFont="1" applyFill="1" applyBorder="1" applyAlignment="1">
      <alignment horizontal="center"/>
    </xf>
    <xf numFmtId="0" fontId="10" fillId="48" borderId="23" xfId="0" applyFont="1" applyFill="1" applyBorder="1" applyAlignment="1">
      <alignment horizontal="center"/>
    </xf>
    <xf numFmtId="3" fontId="11" fillId="48" borderId="23" xfId="0" applyNumberFormat="1" applyFont="1" applyFill="1" applyBorder="1" applyAlignment="1">
      <alignment horizontal="center"/>
    </xf>
    <xf numFmtId="177" fontId="11" fillId="48" borderId="23" xfId="0" applyNumberFormat="1" applyFont="1" applyFill="1" applyBorder="1" applyAlignment="1">
      <alignment horizontal="center"/>
    </xf>
    <xf numFmtId="177" fontId="8" fillId="48" borderId="18" xfId="0" applyNumberFormat="1" applyFont="1" applyFill="1" applyBorder="1" applyAlignment="1">
      <alignment horizontal="center"/>
    </xf>
    <xf numFmtId="174" fontId="24" fillId="0" borderId="27" xfId="0" applyNumberFormat="1" applyFont="1" applyFill="1" applyBorder="1" applyAlignment="1">
      <alignment horizontal="center"/>
    </xf>
    <xf numFmtId="1" fontId="8" fillId="0" borderId="30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174" fontId="11" fillId="0" borderId="23" xfId="72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10" fillId="49" borderId="17" xfId="0" applyFont="1" applyFill="1" applyBorder="1" applyAlignment="1">
      <alignment horizontal="center"/>
    </xf>
    <xf numFmtId="0" fontId="10" fillId="49" borderId="13" xfId="0" applyFont="1" applyFill="1" applyBorder="1" applyAlignment="1">
      <alignment horizontal="center"/>
    </xf>
    <xf numFmtId="0" fontId="27" fillId="49" borderId="18" xfId="0" applyFont="1" applyFill="1" applyBorder="1" applyAlignment="1">
      <alignment horizontal="center"/>
    </xf>
    <xf numFmtId="0" fontId="10" fillId="49" borderId="27" xfId="0" applyFont="1" applyFill="1" applyBorder="1" applyAlignment="1">
      <alignment horizontal="center"/>
    </xf>
    <xf numFmtId="0" fontId="0" fillId="49" borderId="27" xfId="0" applyFill="1" applyBorder="1" applyAlignment="1">
      <alignment/>
    </xf>
    <xf numFmtId="0" fontId="10" fillId="49" borderId="0" xfId="0" applyFont="1" applyFill="1" applyBorder="1" applyAlignment="1">
      <alignment horizontal="center"/>
    </xf>
    <xf numFmtId="0" fontId="10" fillId="49" borderId="31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0" fillId="50" borderId="17" xfId="0" applyFont="1" applyFill="1" applyBorder="1" applyAlignment="1">
      <alignment horizontal="center"/>
    </xf>
    <xf numFmtId="0" fontId="10" fillId="50" borderId="0" xfId="0" applyFont="1" applyFill="1" applyBorder="1" applyAlignment="1">
      <alignment horizontal="center"/>
    </xf>
    <xf numFmtId="0" fontId="10" fillId="50" borderId="27" xfId="0" applyFont="1" applyFill="1" applyBorder="1" applyAlignment="1">
      <alignment horizontal="center"/>
    </xf>
    <xf numFmtId="0" fontId="10" fillId="50" borderId="18" xfId="0" applyFont="1" applyFill="1" applyBorder="1" applyAlignment="1">
      <alignment horizontal="center"/>
    </xf>
    <xf numFmtId="3" fontId="11" fillId="49" borderId="23" xfId="0" applyNumberFormat="1" applyFont="1" applyFill="1" applyBorder="1" applyAlignment="1">
      <alignment horizontal="center" vertical="center"/>
    </xf>
    <xf numFmtId="15" fontId="15" fillId="49" borderId="30" xfId="0" applyNumberFormat="1" applyFont="1" applyFill="1" applyBorder="1" applyAlignment="1">
      <alignment horizontal="center"/>
    </xf>
    <xf numFmtId="0" fontId="8" fillId="49" borderId="23" xfId="0" applyFont="1" applyFill="1" applyBorder="1" applyAlignment="1">
      <alignment horizontal="center"/>
    </xf>
    <xf numFmtId="0" fontId="10" fillId="49" borderId="29" xfId="0" applyFont="1" applyFill="1" applyBorder="1" applyAlignment="1">
      <alignment horizontal="center"/>
    </xf>
    <xf numFmtId="0" fontId="10" fillId="49" borderId="14" xfId="0" applyFont="1" applyFill="1" applyBorder="1" applyAlignment="1">
      <alignment horizontal="center"/>
    </xf>
    <xf numFmtId="0" fontId="10" fillId="49" borderId="19" xfId="0" applyFont="1" applyFill="1" applyBorder="1" applyAlignment="1">
      <alignment horizontal="center"/>
    </xf>
    <xf numFmtId="0" fontId="12" fillId="49" borderId="19" xfId="0" applyFont="1" applyFill="1" applyBorder="1" applyAlignment="1">
      <alignment horizontal="center"/>
    </xf>
    <xf numFmtId="3" fontId="11" fillId="50" borderId="18" xfId="0" applyNumberFormat="1" applyFont="1" applyFill="1" applyBorder="1" applyAlignment="1">
      <alignment horizontal="center" vertical="center"/>
    </xf>
    <xf numFmtId="15" fontId="15" fillId="50" borderId="0" xfId="0" applyNumberFormat="1" applyFont="1" applyFill="1" applyBorder="1" applyAlignment="1">
      <alignment horizontal="center"/>
    </xf>
    <xf numFmtId="0" fontId="10" fillId="50" borderId="23" xfId="0" applyFont="1" applyFill="1" applyBorder="1" applyAlignment="1">
      <alignment horizontal="center"/>
    </xf>
    <xf numFmtId="0" fontId="10" fillId="5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2" fillId="47" borderId="32" xfId="0" applyNumberFormat="1" applyFont="1" applyFill="1" applyBorder="1" applyAlignment="1">
      <alignment horizontal="center"/>
    </xf>
    <xf numFmtId="3" fontId="12" fillId="47" borderId="33" xfId="0" applyNumberFormat="1" applyFont="1" applyFill="1" applyBorder="1" applyAlignment="1">
      <alignment horizontal="center"/>
    </xf>
    <xf numFmtId="178" fontId="11" fillId="47" borderId="33" xfId="0" applyNumberFormat="1" applyFont="1" applyFill="1" applyBorder="1" applyAlignment="1">
      <alignment horizontal="center"/>
    </xf>
    <xf numFmtId="9" fontId="8" fillId="0" borderId="19" xfId="0" applyNumberFormat="1" applyFont="1" applyFill="1" applyBorder="1" applyAlignment="1">
      <alignment horizontal="center"/>
    </xf>
    <xf numFmtId="9" fontId="8" fillId="0" borderId="14" xfId="0" applyNumberFormat="1" applyFont="1" applyFill="1" applyBorder="1" applyAlignment="1">
      <alignment horizontal="center"/>
    </xf>
    <xf numFmtId="0" fontId="10" fillId="50" borderId="21" xfId="0" applyFont="1" applyFill="1" applyBorder="1" applyAlignment="1">
      <alignment horizontal="center"/>
    </xf>
    <xf numFmtId="0" fontId="15" fillId="47" borderId="0" xfId="0" applyFont="1" applyFill="1" applyBorder="1" applyAlignment="1">
      <alignment horizontal="center"/>
    </xf>
    <xf numFmtId="3" fontId="12" fillId="47" borderId="17" xfId="0" applyNumberFormat="1" applyFont="1" applyFill="1" applyBorder="1" applyAlignment="1">
      <alignment horizontal="center"/>
    </xf>
    <xf numFmtId="177" fontId="8" fillId="47" borderId="17" xfId="0" applyNumberFormat="1" applyFont="1" applyFill="1" applyBorder="1" applyAlignment="1">
      <alignment horizontal="center"/>
    </xf>
    <xf numFmtId="179" fontId="28" fillId="47" borderId="17" xfId="72" applyNumberFormat="1" applyFont="1" applyFill="1" applyBorder="1" applyAlignment="1" applyProtection="1">
      <alignment horizontal="center"/>
      <protection/>
    </xf>
    <xf numFmtId="179" fontId="11" fillId="47" borderId="17" xfId="72" applyNumberFormat="1" applyFont="1" applyFill="1" applyBorder="1" applyAlignment="1" applyProtection="1">
      <alignment horizontal="center"/>
      <protection/>
    </xf>
    <xf numFmtId="9" fontId="12" fillId="49" borderId="23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3" fontId="11" fillId="0" borderId="23" xfId="0" applyNumberFormat="1" applyFont="1" applyFill="1" applyBorder="1" applyAlignment="1">
      <alignment horizontal="center"/>
    </xf>
    <xf numFmtId="179" fontId="24" fillId="0" borderId="23" xfId="72" applyNumberFormat="1" applyFont="1" applyFill="1" applyBorder="1" applyAlignment="1" applyProtection="1">
      <alignment/>
      <protection/>
    </xf>
    <xf numFmtId="180" fontId="11" fillId="0" borderId="23" xfId="0" applyNumberFormat="1" applyFont="1" applyFill="1" applyBorder="1" applyAlignment="1">
      <alignment horizontal="center"/>
    </xf>
    <xf numFmtId="9" fontId="12" fillId="50" borderId="21" xfId="0" applyNumberFormat="1" applyFont="1" applyFill="1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3" fontId="12" fillId="48" borderId="17" xfId="0" applyNumberFormat="1" applyFont="1" applyFill="1" applyBorder="1" applyAlignment="1">
      <alignment horizontal="center"/>
    </xf>
    <xf numFmtId="177" fontId="8" fillId="48" borderId="17" xfId="0" applyNumberFormat="1" applyFont="1" applyFill="1" applyBorder="1" applyAlignment="1">
      <alignment horizontal="center"/>
    </xf>
    <xf numFmtId="179" fontId="28" fillId="48" borderId="17" xfId="72" applyNumberFormat="1" applyFont="1" applyFill="1" applyBorder="1" applyAlignment="1" applyProtection="1">
      <alignment horizontal="center"/>
      <protection/>
    </xf>
    <xf numFmtId="179" fontId="11" fillId="48" borderId="17" xfId="72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81" fontId="31" fillId="0" borderId="0" xfId="0" applyNumberFormat="1" applyFont="1" applyAlignment="1">
      <alignment/>
    </xf>
    <xf numFmtId="0" fontId="32" fillId="22" borderId="31" xfId="0" applyFont="1" applyFill="1" applyBorder="1" applyAlignment="1">
      <alignment horizontal="center"/>
    </xf>
    <xf numFmtId="0" fontId="32" fillId="22" borderId="29" xfId="0" applyFont="1" applyFill="1" applyBorder="1" applyAlignment="1">
      <alignment horizontal="center" vertical="center"/>
    </xf>
    <xf numFmtId="0" fontId="33" fillId="22" borderId="19" xfId="0" applyFont="1" applyFill="1" applyBorder="1" applyAlignment="1" applyProtection="1">
      <alignment horizontal="center" wrapText="1"/>
      <protection/>
    </xf>
    <xf numFmtId="0" fontId="33" fillId="28" borderId="17" xfId="0" applyFont="1" applyFill="1" applyBorder="1" applyAlignment="1">
      <alignment horizontal="center"/>
    </xf>
    <xf numFmtId="0" fontId="34" fillId="22" borderId="30" xfId="0" applyFont="1" applyFill="1" applyBorder="1" applyAlignment="1" applyProtection="1">
      <alignment horizontal="center" wrapText="1"/>
      <protection/>
    </xf>
    <xf numFmtId="0" fontId="33" fillId="49" borderId="29" xfId="0" applyFont="1" applyFill="1" applyBorder="1" applyAlignment="1">
      <alignment horizontal="center" vertical="center"/>
    </xf>
    <xf numFmtId="0" fontId="0" fillId="49" borderId="34" xfId="0" applyFill="1" applyBorder="1" applyAlignment="1">
      <alignment/>
    </xf>
    <xf numFmtId="0" fontId="33" fillId="49" borderId="34" xfId="0" applyFont="1" applyFill="1" applyBorder="1" applyAlignment="1">
      <alignment horizontal="center"/>
    </xf>
    <xf numFmtId="0" fontId="33" fillId="49" borderId="30" xfId="0" applyFont="1" applyFill="1" applyBorder="1" applyAlignment="1">
      <alignment horizontal="center" vertical="center"/>
    </xf>
    <xf numFmtId="9" fontId="33" fillId="28" borderId="23" xfId="72" applyFont="1" applyFill="1" applyBorder="1" applyAlignment="1" applyProtection="1">
      <alignment/>
      <protection/>
    </xf>
    <xf numFmtId="9" fontId="11" fillId="0" borderId="17" xfId="72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/>
    </xf>
    <xf numFmtId="9" fontId="11" fillId="28" borderId="19" xfId="72" applyFont="1" applyFill="1" applyBorder="1" applyAlignment="1" applyProtection="1">
      <alignment/>
      <protection/>
    </xf>
    <xf numFmtId="0" fontId="32" fillId="22" borderId="11" xfId="0" applyFont="1" applyFill="1" applyBorder="1" applyAlignment="1">
      <alignment horizontal="center" vertical="center"/>
    </xf>
    <xf numFmtId="1" fontId="26" fillId="0" borderId="19" xfId="0" applyNumberFormat="1" applyFont="1" applyBorder="1" applyAlignment="1">
      <alignment horizontal="center"/>
    </xf>
    <xf numFmtId="3" fontId="31" fillId="0" borderId="11" xfId="0" applyNumberFormat="1" applyFont="1" applyBorder="1" applyAlignment="1">
      <alignment horizontal="center"/>
    </xf>
    <xf numFmtId="3" fontId="31" fillId="0" borderId="17" xfId="0" applyNumberFormat="1" applyFont="1" applyBorder="1" applyAlignment="1">
      <alignment horizontal="center"/>
    </xf>
    <xf numFmtId="3" fontId="31" fillId="0" borderId="17" xfId="0" applyNumberFormat="1" applyFont="1" applyFill="1" applyBorder="1" applyAlignment="1">
      <alignment horizontal="left" vertical="center"/>
    </xf>
    <xf numFmtId="0" fontId="33" fillId="22" borderId="14" xfId="0" applyFont="1" applyFill="1" applyBorder="1" applyAlignment="1">
      <alignment horizontal="center" vertical="center"/>
    </xf>
    <xf numFmtId="1" fontId="38" fillId="0" borderId="19" xfId="0" applyNumberFormat="1" applyFont="1" applyBorder="1" applyAlignment="1">
      <alignment horizontal="center"/>
    </xf>
    <xf numFmtId="181" fontId="31" fillId="0" borderId="27" xfId="0" applyNumberFormat="1" applyFont="1" applyBorder="1" applyAlignment="1">
      <alignment horizontal="center"/>
    </xf>
    <xf numFmtId="3" fontId="31" fillId="0" borderId="23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0" fontId="10" fillId="45" borderId="29" xfId="0" applyFont="1" applyFill="1" applyBorder="1" applyAlignment="1">
      <alignment horizontal="center"/>
    </xf>
    <xf numFmtId="0" fontId="10" fillId="45" borderId="34" xfId="0" applyFont="1" applyFill="1" applyBorder="1" applyAlignment="1">
      <alignment horizontal="center"/>
    </xf>
    <xf numFmtId="0" fontId="10" fillId="45" borderId="34" xfId="0" applyFont="1" applyFill="1" applyBorder="1" applyAlignment="1">
      <alignment/>
    </xf>
    <xf numFmtId="0" fontId="14" fillId="45" borderId="34" xfId="0" applyFont="1" applyFill="1" applyBorder="1" applyAlignment="1">
      <alignment/>
    </xf>
    <xf numFmtId="0" fontId="14" fillId="45" borderId="30" xfId="0" applyFont="1" applyFill="1" applyBorder="1" applyAlignment="1">
      <alignment/>
    </xf>
    <xf numFmtId="0" fontId="14" fillId="28" borderId="29" xfId="0" applyFont="1" applyFill="1" applyBorder="1" applyAlignment="1">
      <alignment horizontal="center"/>
    </xf>
    <xf numFmtId="0" fontId="10" fillId="28" borderId="34" xfId="0" applyFont="1" applyFill="1" applyBorder="1" applyAlignment="1">
      <alignment horizontal="center"/>
    </xf>
    <xf numFmtId="0" fontId="14" fillId="28" borderId="34" xfId="0" applyFont="1" applyFill="1" applyBorder="1" applyAlignment="1">
      <alignment horizontal="center"/>
    </xf>
    <xf numFmtId="0" fontId="14" fillId="47" borderId="34" xfId="0" applyFont="1" applyFill="1" applyBorder="1" applyAlignment="1">
      <alignment/>
    </xf>
    <xf numFmtId="0" fontId="14" fillId="33" borderId="3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5" xfId="0" applyFont="1" applyBorder="1" applyAlignment="1">
      <alignment horizontal="left"/>
    </xf>
    <xf numFmtId="49" fontId="40" fillId="21" borderId="27" xfId="0" applyNumberFormat="1" applyFont="1" applyFill="1" applyBorder="1" applyAlignment="1">
      <alignment horizontal="center"/>
    </xf>
    <xf numFmtId="175" fontId="41" fillId="0" borderId="27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" fontId="10" fillId="46" borderId="36" xfId="0" applyNumberFormat="1" applyFont="1" applyFill="1" applyBorder="1" applyAlignment="1">
      <alignment horizontal="center"/>
    </xf>
    <xf numFmtId="3" fontId="41" fillId="46" borderId="37" xfId="0" applyNumberFormat="1" applyFont="1" applyFill="1" applyBorder="1" applyAlignment="1">
      <alignment horizontal="center"/>
    </xf>
    <xf numFmtId="182" fontId="16" fillId="46" borderId="37" xfId="0" applyNumberFormat="1" applyFont="1" applyFill="1" applyBorder="1" applyAlignment="1">
      <alignment horizontal="center"/>
    </xf>
    <xf numFmtId="3" fontId="41" fillId="0" borderId="0" xfId="0" applyNumberFormat="1" applyFont="1" applyBorder="1" applyAlignment="1">
      <alignment/>
    </xf>
    <xf numFmtId="0" fontId="0" fillId="46" borderId="14" xfId="0" applyFill="1" applyBorder="1" applyAlignment="1">
      <alignment/>
    </xf>
    <xf numFmtId="4" fontId="13" fillId="46" borderId="19" xfId="0" applyNumberFormat="1" applyFont="1" applyFill="1" applyBorder="1" applyAlignment="1">
      <alignment/>
    </xf>
    <xf numFmtId="4" fontId="0" fillId="46" borderId="16" xfId="0" applyNumberFormat="1" applyFill="1" applyBorder="1" applyAlignment="1">
      <alignment/>
    </xf>
    <xf numFmtId="177" fontId="41" fillId="0" borderId="27" xfId="0" applyNumberFormat="1" applyFont="1" applyBorder="1" applyAlignment="1">
      <alignment/>
    </xf>
    <xf numFmtId="179" fontId="8" fillId="0" borderId="0" xfId="0" applyNumberFormat="1" applyFont="1" applyBorder="1" applyAlignment="1">
      <alignment horizontal="center"/>
    </xf>
    <xf numFmtId="178" fontId="17" fillId="0" borderId="0" xfId="72" applyNumberFormat="1" applyFont="1" applyFill="1" applyBorder="1" applyAlignment="1" applyProtection="1">
      <alignment/>
      <protection/>
    </xf>
    <xf numFmtId="178" fontId="17" fillId="0" borderId="0" xfId="0" applyNumberFormat="1" applyFont="1" applyBorder="1" applyAlignment="1">
      <alignment/>
    </xf>
    <xf numFmtId="178" fontId="17" fillId="0" borderId="31" xfId="0" applyNumberFormat="1" applyFont="1" applyBorder="1" applyAlignment="1">
      <alignment/>
    </xf>
    <xf numFmtId="179" fontId="17" fillId="46" borderId="18" xfId="0" applyNumberFormat="1" applyFont="1" applyFill="1" applyBorder="1" applyAlignment="1">
      <alignment horizontal="center"/>
    </xf>
    <xf numFmtId="179" fontId="8" fillId="0" borderId="0" xfId="0" applyNumberFormat="1" applyFont="1" applyBorder="1" applyAlignment="1">
      <alignment/>
    </xf>
    <xf numFmtId="179" fontId="8" fillId="0" borderId="18" xfId="72" applyNumberFormat="1" applyFont="1" applyFill="1" applyBorder="1" applyAlignment="1" applyProtection="1">
      <alignment horizontal="center"/>
      <protection/>
    </xf>
    <xf numFmtId="49" fontId="14" fillId="0" borderId="27" xfId="0" applyNumberFormat="1" applyFont="1" applyBorder="1" applyAlignment="1">
      <alignment horizontal="center"/>
    </xf>
    <xf numFmtId="183" fontId="42" fillId="47" borderId="17" xfId="0" applyNumberFormat="1" applyFont="1" applyFill="1" applyBorder="1" applyAlignment="1">
      <alignment horizontal="center"/>
    </xf>
    <xf numFmtId="3" fontId="43" fillId="0" borderId="0" xfId="0" applyNumberFormat="1" applyFont="1" applyBorder="1" applyAlignment="1">
      <alignment/>
    </xf>
    <xf numFmtId="176" fontId="41" fillId="0" borderId="0" xfId="0" applyNumberFormat="1" applyFont="1" applyBorder="1" applyAlignment="1">
      <alignment horizontal="center"/>
    </xf>
    <xf numFmtId="2" fontId="41" fillId="0" borderId="31" xfId="0" applyNumberFormat="1" applyFont="1" applyBorder="1" applyAlignment="1">
      <alignment horizontal="center"/>
    </xf>
    <xf numFmtId="178" fontId="17" fillId="0" borderId="18" xfId="0" applyNumberFormat="1" applyFont="1" applyBorder="1" applyAlignment="1">
      <alignment/>
    </xf>
    <xf numFmtId="175" fontId="41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/>
    </xf>
    <xf numFmtId="4" fontId="46" fillId="47" borderId="0" xfId="0" applyNumberFormat="1" applyFont="1" applyFill="1" applyBorder="1" applyAlignment="1">
      <alignment horizontal="center"/>
    </xf>
    <xf numFmtId="176" fontId="41" fillId="0" borderId="0" xfId="0" applyNumberFormat="1" applyFont="1" applyFill="1" applyBorder="1" applyAlignment="1">
      <alignment horizontal="center"/>
    </xf>
    <xf numFmtId="3" fontId="14" fillId="47" borderId="0" xfId="0" applyNumberFormat="1" applyFont="1" applyFill="1" applyBorder="1" applyAlignment="1">
      <alignment/>
    </xf>
    <xf numFmtId="172" fontId="41" fillId="0" borderId="31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/>
    </xf>
    <xf numFmtId="177" fontId="41" fillId="0" borderId="27" xfId="0" applyNumberFormat="1" applyFont="1" applyFill="1" applyBorder="1" applyAlignment="1">
      <alignment/>
    </xf>
    <xf numFmtId="179" fontId="8" fillId="47" borderId="0" xfId="0" applyNumberFormat="1" applyFont="1" applyFill="1" applyBorder="1" applyAlignment="1">
      <alignment horizontal="center"/>
    </xf>
    <xf numFmtId="178" fontId="41" fillId="0" borderId="0" xfId="72" applyNumberFormat="1" applyFont="1" applyFill="1" applyBorder="1" applyAlignment="1" applyProtection="1">
      <alignment/>
      <protection/>
    </xf>
    <xf numFmtId="178" fontId="41" fillId="0" borderId="0" xfId="0" applyNumberFormat="1" applyFont="1" applyFill="1" applyBorder="1" applyAlignment="1">
      <alignment/>
    </xf>
    <xf numFmtId="178" fontId="41" fillId="0" borderId="38" xfId="0" applyNumberFormat="1" applyFont="1" applyFill="1" applyBorder="1" applyAlignment="1">
      <alignment/>
    </xf>
    <xf numFmtId="0" fontId="38" fillId="0" borderId="27" xfId="0" applyFont="1" applyFill="1" applyBorder="1" applyAlignment="1">
      <alignment/>
    </xf>
    <xf numFmtId="179" fontId="47" fillId="0" borderId="18" xfId="72" applyNumberFormat="1" applyFont="1" applyFill="1" applyBorder="1" applyAlignment="1" applyProtection="1">
      <alignment horizontal="center"/>
      <protection/>
    </xf>
    <xf numFmtId="183" fontId="15" fillId="47" borderId="18" xfId="0" applyNumberFormat="1" applyFont="1" applyFill="1" applyBorder="1" applyAlignment="1">
      <alignment horizontal="left"/>
    </xf>
    <xf numFmtId="179" fontId="45" fillId="21" borderId="18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4" fillId="48" borderId="23" xfId="0" applyFont="1" applyFill="1" applyBorder="1" applyAlignment="1">
      <alignment horizontal="center"/>
    </xf>
    <xf numFmtId="183" fontId="14" fillId="48" borderId="23" xfId="0" applyNumberFormat="1" applyFont="1" applyFill="1" applyBorder="1" applyAlignment="1">
      <alignment horizontal="center"/>
    </xf>
    <xf numFmtId="179" fontId="45" fillId="48" borderId="23" xfId="0" applyNumberFormat="1" applyFont="1" applyFill="1" applyBorder="1" applyAlignment="1">
      <alignment horizontal="center"/>
    </xf>
    <xf numFmtId="3" fontId="41" fillId="47" borderId="0" xfId="0" applyNumberFormat="1" applyFont="1" applyFill="1" applyBorder="1" applyAlignment="1">
      <alignment/>
    </xf>
    <xf numFmtId="172" fontId="14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179" fontId="47" fillId="0" borderId="0" xfId="72" applyNumberFormat="1" applyFont="1" applyFill="1" applyBorder="1" applyAlignment="1" applyProtection="1">
      <alignment horizontal="center"/>
      <protection/>
    </xf>
    <xf numFmtId="0" fontId="14" fillId="47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1" borderId="14" xfId="0" applyFill="1" applyBorder="1" applyAlignment="1">
      <alignment/>
    </xf>
    <xf numFmtId="14" fontId="8" fillId="46" borderId="15" xfId="0" applyNumberFormat="1" applyFont="1" applyFill="1" applyBorder="1" applyAlignment="1">
      <alignment/>
    </xf>
    <xf numFmtId="0" fontId="0" fillId="31" borderId="15" xfId="0" applyFill="1" applyBorder="1" applyAlignment="1">
      <alignment/>
    </xf>
    <xf numFmtId="0" fontId="0" fillId="31" borderId="16" xfId="0" applyFill="1" applyBorder="1" applyAlignment="1">
      <alignment horizontal="left"/>
    </xf>
    <xf numFmtId="0" fontId="0" fillId="31" borderId="19" xfId="0" applyFill="1" applyBorder="1" applyAlignment="1">
      <alignment horizontal="left"/>
    </xf>
    <xf numFmtId="181" fontId="31" fillId="0" borderId="0" xfId="0" applyNumberFormat="1" applyFont="1" applyBorder="1" applyAlignment="1">
      <alignment/>
    </xf>
    <xf numFmtId="2" fontId="38" fillId="0" borderId="0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31" borderId="18" xfId="0" applyFill="1" applyBorder="1" applyAlignment="1">
      <alignment/>
    </xf>
    <xf numFmtId="184" fontId="0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4" fontId="0" fillId="0" borderId="31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9" fillId="5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32" fillId="22" borderId="18" xfId="0" applyFont="1" applyFill="1" applyBorder="1" applyAlignment="1" applyProtection="1">
      <alignment horizontal="center"/>
      <protection/>
    </xf>
    <xf numFmtId="0" fontId="23" fillId="22" borderId="17" xfId="0" applyFont="1" applyFill="1" applyBorder="1" applyAlignment="1" applyProtection="1">
      <alignment horizontal="center"/>
      <protection/>
    </xf>
    <xf numFmtId="0" fontId="33" fillId="28" borderId="0" xfId="0" applyFont="1" applyFill="1" applyBorder="1" applyAlignment="1" applyProtection="1">
      <alignment horizontal="center"/>
      <protection/>
    </xf>
    <xf numFmtId="0" fontId="33" fillId="22" borderId="23" xfId="0" applyFont="1" applyFill="1" applyBorder="1" applyAlignment="1" applyProtection="1">
      <alignment horizontal="center" vertical="center"/>
      <protection/>
    </xf>
    <xf numFmtId="0" fontId="34" fillId="22" borderId="31" xfId="0" applyFont="1" applyFill="1" applyBorder="1" applyAlignment="1" applyProtection="1">
      <alignment horizontal="center" wrapText="1"/>
      <protection/>
    </xf>
    <xf numFmtId="0" fontId="33" fillId="49" borderId="34" xfId="0" applyFont="1" applyFill="1" applyBorder="1" applyAlignment="1" applyProtection="1">
      <alignment horizontal="center" vertical="center"/>
      <protection/>
    </xf>
    <xf numFmtId="0" fontId="8" fillId="49" borderId="34" xfId="0" applyFont="1" applyFill="1" applyBorder="1" applyAlignment="1" applyProtection="1">
      <alignment horizontal="center"/>
      <protection/>
    </xf>
    <xf numFmtId="0" fontId="33" fillId="49" borderId="30" xfId="0" applyFont="1" applyFill="1" applyBorder="1" applyAlignment="1" applyProtection="1">
      <alignment horizontal="center" vertical="center"/>
      <protection/>
    </xf>
    <xf numFmtId="0" fontId="8" fillId="50" borderId="29" xfId="0" applyFont="1" applyFill="1" applyBorder="1" applyAlignment="1" applyProtection="1">
      <alignment horizontal="center"/>
      <protection/>
    </xf>
    <xf numFmtId="0" fontId="0" fillId="50" borderId="34" xfId="0" applyFill="1" applyBorder="1" applyAlignment="1" applyProtection="1">
      <alignment/>
      <protection/>
    </xf>
    <xf numFmtId="0" fontId="33" fillId="50" borderId="34" xfId="0" applyFont="1" applyFill="1" applyBorder="1" applyAlignment="1" applyProtection="1">
      <alignment horizontal="center"/>
      <protection/>
    </xf>
    <xf numFmtId="0" fontId="8" fillId="50" borderId="30" xfId="0" applyFont="1" applyFill="1" applyBorder="1" applyAlignment="1" applyProtection="1">
      <alignment shrinkToFit="1"/>
      <protection/>
    </xf>
    <xf numFmtId="0" fontId="33" fillId="28" borderId="30" xfId="0" applyFont="1" applyFill="1" applyBorder="1" applyAlignment="1" applyProtection="1">
      <alignment horizontal="center"/>
      <protection/>
    </xf>
    <xf numFmtId="9" fontId="11" fillId="0" borderId="21" xfId="72" applyFont="1" applyFill="1" applyBorder="1" applyAlignment="1" applyProtection="1">
      <alignment horizontal="center" vertical="center"/>
      <protection/>
    </xf>
    <xf numFmtId="179" fontId="11" fillId="47" borderId="12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Border="1" applyAlignment="1" applyProtection="1">
      <alignment horizontal="center" vertical="center"/>
      <protection/>
    </xf>
    <xf numFmtId="178" fontId="8" fillId="0" borderId="31" xfId="0" applyNumberFormat="1" applyFont="1" applyBorder="1" applyAlignment="1" applyProtection="1">
      <alignment horizontal="center" vertical="center"/>
      <protection/>
    </xf>
    <xf numFmtId="179" fontId="11" fillId="48" borderId="12" xfId="0" applyNumberFormat="1" applyFont="1" applyFill="1" applyBorder="1" applyAlignment="1" applyProtection="1">
      <alignment horizontal="center"/>
      <protection/>
    </xf>
    <xf numFmtId="3" fontId="26" fillId="28" borderId="17" xfId="72" applyNumberFormat="1" applyFont="1" applyFill="1" applyBorder="1" applyAlignment="1" applyProtection="1">
      <alignment/>
      <protection/>
    </xf>
    <xf numFmtId="3" fontId="31" fillId="0" borderId="13" xfId="0" applyNumberFormat="1" applyFont="1" applyFill="1" applyBorder="1" applyAlignment="1">
      <alignment horizontal="left" vertical="center"/>
    </xf>
    <xf numFmtId="3" fontId="31" fillId="0" borderId="13" xfId="0" applyNumberFormat="1" applyFont="1" applyBorder="1" applyAlignment="1">
      <alignment horizontal="center"/>
    </xf>
    <xf numFmtId="0" fontId="0" fillId="28" borderId="17" xfId="0" applyFill="1" applyBorder="1" applyAlignment="1">
      <alignment/>
    </xf>
    <xf numFmtId="0" fontId="48" fillId="28" borderId="12" xfId="0" applyFont="1" applyFill="1" applyBorder="1" applyAlignment="1">
      <alignment horizontal="left"/>
    </xf>
    <xf numFmtId="0" fontId="33" fillId="28" borderId="13" xfId="0" applyFont="1" applyFill="1" applyBorder="1" applyAlignment="1">
      <alignment horizontal="center"/>
    </xf>
    <xf numFmtId="0" fontId="10" fillId="49" borderId="34" xfId="0" applyFont="1" applyFill="1" applyBorder="1" applyAlignment="1">
      <alignment horizontal="center"/>
    </xf>
    <xf numFmtId="0" fontId="10" fillId="49" borderId="34" xfId="0" applyFont="1" applyFill="1" applyBorder="1" applyAlignment="1">
      <alignment/>
    </xf>
    <xf numFmtId="0" fontId="14" fillId="49" borderId="34" xfId="0" applyFont="1" applyFill="1" applyBorder="1" applyAlignment="1">
      <alignment/>
    </xf>
    <xf numFmtId="0" fontId="10" fillId="49" borderId="30" xfId="0" applyFont="1" applyFill="1" applyBorder="1" applyAlignment="1">
      <alignment horizontal="center"/>
    </xf>
    <xf numFmtId="0" fontId="10" fillId="50" borderId="29" xfId="0" applyFont="1" applyFill="1" applyBorder="1" applyAlignment="1">
      <alignment horizontal="center"/>
    </xf>
    <xf numFmtId="0" fontId="10" fillId="50" borderId="34" xfId="0" applyFont="1" applyFill="1" applyBorder="1" applyAlignment="1">
      <alignment horizontal="center"/>
    </xf>
    <xf numFmtId="0" fontId="10" fillId="50" borderId="34" xfId="0" applyFont="1" applyFill="1" applyBorder="1" applyAlignment="1">
      <alignment/>
    </xf>
    <xf numFmtId="0" fontId="14" fillId="50" borderId="34" xfId="0" applyFont="1" applyFill="1" applyBorder="1" applyAlignment="1">
      <alignment/>
    </xf>
    <xf numFmtId="0" fontId="8" fillId="50" borderId="30" xfId="0" applyFont="1" applyFill="1" applyBorder="1" applyAlignment="1">
      <alignment/>
    </xf>
    <xf numFmtId="0" fontId="14" fillId="33" borderId="34" xfId="0" applyFont="1" applyFill="1" applyBorder="1" applyAlignment="1">
      <alignment horizontal="center"/>
    </xf>
    <xf numFmtId="0" fontId="33" fillId="28" borderId="2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4" fillId="0" borderId="27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3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 wrapText="1"/>
      <protection locked="0"/>
    </xf>
    <xf numFmtId="0" fontId="10" fillId="0" borderId="12" xfId="0" applyFont="1" applyFill="1" applyBorder="1" applyAlignment="1" applyProtection="1">
      <alignment horizontal="center" wrapText="1" shrinkToFit="1"/>
      <protection locked="0"/>
    </xf>
    <xf numFmtId="0" fontId="41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 wrapText="1" shrinkToFit="1"/>
      <protection locked="0"/>
    </xf>
    <xf numFmtId="0" fontId="41" fillId="0" borderId="0" xfId="0" applyFont="1" applyBorder="1" applyAlignment="1" applyProtection="1">
      <alignment/>
      <protection locked="0"/>
    </xf>
    <xf numFmtId="0" fontId="41" fillId="0" borderId="0" xfId="0" applyFont="1" applyFill="1" applyBorder="1" applyAlignment="1">
      <alignment horizontal="center"/>
    </xf>
    <xf numFmtId="183" fontId="14" fillId="47" borderId="0" xfId="0" applyNumberFormat="1" applyFont="1" applyFill="1" applyBorder="1" applyAlignment="1">
      <alignment horizontal="left"/>
    </xf>
    <xf numFmtId="0" fontId="31" fillId="0" borderId="18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center"/>
    </xf>
    <xf numFmtId="175" fontId="41" fillId="0" borderId="27" xfId="0" applyNumberFormat="1" applyFont="1" applyFill="1" applyBorder="1" applyAlignment="1">
      <alignment horizontal="center"/>
    </xf>
    <xf numFmtId="2" fontId="41" fillId="28" borderId="31" xfId="0" applyNumberFormat="1" applyFont="1" applyFill="1" applyBorder="1" applyAlignment="1">
      <alignment horizontal="center"/>
    </xf>
    <xf numFmtId="174" fontId="90" fillId="47" borderId="18" xfId="0" applyNumberFormat="1" applyFont="1" applyFill="1" applyBorder="1" applyAlignment="1">
      <alignment horizontal="center"/>
    </xf>
    <xf numFmtId="174" fontId="90" fillId="48" borderId="18" xfId="0" applyNumberFormat="1" applyFont="1" applyFill="1" applyBorder="1" applyAlignment="1">
      <alignment horizontal="center"/>
    </xf>
    <xf numFmtId="174" fontId="90" fillId="47" borderId="33" xfId="72" applyNumberFormat="1" applyFont="1" applyFill="1" applyBorder="1" applyAlignment="1" applyProtection="1">
      <alignment/>
      <protection/>
    </xf>
    <xf numFmtId="3" fontId="90" fillId="47" borderId="33" xfId="0" applyNumberFormat="1" applyFont="1" applyFill="1" applyBorder="1" applyAlignment="1">
      <alignment horizontal="center"/>
    </xf>
    <xf numFmtId="0" fontId="44" fillId="51" borderId="18" xfId="0" applyFont="1" applyFill="1" applyBorder="1" applyAlignment="1">
      <alignment horizontal="center"/>
    </xf>
    <xf numFmtId="174" fontId="6" fillId="45" borderId="15" xfId="0" applyNumberFormat="1" applyFont="1" applyFill="1" applyBorder="1" applyAlignment="1">
      <alignment vertical="center"/>
    </xf>
    <xf numFmtId="175" fontId="14" fillId="0" borderId="27" xfId="0" applyNumberFormat="1" applyFont="1" applyFill="1" applyBorder="1" applyAlignment="1">
      <alignment horizontal="center"/>
    </xf>
    <xf numFmtId="3" fontId="11" fillId="47" borderId="17" xfId="0" applyNumberFormat="1" applyFont="1" applyFill="1" applyBorder="1" applyAlignment="1" applyProtection="1">
      <alignment horizontal="center"/>
      <protection/>
    </xf>
    <xf numFmtId="3" fontId="11" fillId="33" borderId="23" xfId="0" applyNumberFormat="1" applyFont="1" applyFill="1" applyBorder="1" applyAlignment="1" applyProtection="1">
      <alignment horizontal="center"/>
      <protection/>
    </xf>
    <xf numFmtId="0" fontId="33" fillId="49" borderId="34" xfId="0" applyFont="1" applyFill="1" applyBorder="1" applyAlignment="1" applyProtection="1">
      <alignment horizontal="center"/>
      <protection/>
    </xf>
    <xf numFmtId="3" fontId="11" fillId="0" borderId="14" xfId="0" applyNumberFormat="1" applyFont="1" applyFill="1" applyBorder="1" applyAlignment="1" applyProtection="1">
      <alignment horizontal="center" vertical="center"/>
      <protection/>
    </xf>
    <xf numFmtId="0" fontId="26" fillId="52" borderId="0" xfId="0" applyFont="1" applyFill="1" applyBorder="1" applyAlignment="1">
      <alignment horizontal="center" textRotation="90"/>
    </xf>
    <xf numFmtId="0" fontId="32" fillId="52" borderId="39" xfId="0" applyFont="1" applyFill="1" applyBorder="1" applyAlignment="1">
      <alignment horizontal="center" vertical="center"/>
    </xf>
    <xf numFmtId="0" fontId="32" fillId="52" borderId="40" xfId="0" applyFont="1" applyFill="1" applyBorder="1" applyAlignment="1">
      <alignment horizontal="center" vertical="center"/>
    </xf>
    <xf numFmtId="0" fontId="26" fillId="52" borderId="41" xfId="0" applyFont="1" applyFill="1" applyBorder="1" applyAlignment="1">
      <alignment horizontal="center" textRotation="90"/>
    </xf>
    <xf numFmtId="0" fontId="32" fillId="52" borderId="42" xfId="0" applyFont="1" applyFill="1" applyBorder="1" applyAlignment="1">
      <alignment horizontal="center" vertical="center"/>
    </xf>
    <xf numFmtId="0" fontId="32" fillId="52" borderId="43" xfId="0" applyFont="1" applyFill="1" applyBorder="1" applyAlignment="1">
      <alignment horizontal="center" vertical="center"/>
    </xf>
    <xf numFmtId="0" fontId="32" fillId="53" borderId="42" xfId="0" applyFont="1" applyFill="1" applyBorder="1" applyAlignment="1">
      <alignment horizontal="center" vertical="center"/>
    </xf>
    <xf numFmtId="0" fontId="32" fillId="53" borderId="43" xfId="0" applyFont="1" applyFill="1" applyBorder="1" applyAlignment="1">
      <alignment horizontal="center" vertical="center"/>
    </xf>
    <xf numFmtId="0" fontId="26" fillId="53" borderId="44" xfId="0" applyFont="1" applyFill="1" applyBorder="1" applyAlignment="1">
      <alignment horizontal="center" textRotation="90"/>
    </xf>
    <xf numFmtId="0" fontId="32" fillId="53" borderId="39" xfId="0" applyFont="1" applyFill="1" applyBorder="1" applyAlignment="1">
      <alignment horizontal="center" vertical="center"/>
    </xf>
    <xf numFmtId="0" fontId="32" fillId="53" borderId="40" xfId="0" applyFont="1" applyFill="1" applyBorder="1" applyAlignment="1">
      <alignment horizontal="center" vertical="center"/>
    </xf>
    <xf numFmtId="0" fontId="26" fillId="53" borderId="41" xfId="0" applyFont="1" applyFill="1" applyBorder="1" applyAlignment="1">
      <alignment horizontal="center" textRotation="90"/>
    </xf>
    <xf numFmtId="0" fontId="10" fillId="52" borderId="0" xfId="0" applyFont="1" applyFill="1" applyBorder="1" applyAlignment="1" applyProtection="1">
      <alignment horizontal="center"/>
      <protection locked="0"/>
    </xf>
    <xf numFmtId="0" fontId="10" fillId="54" borderId="0" xfId="0" applyFont="1" applyFill="1" applyBorder="1" applyAlignment="1" applyProtection="1">
      <alignment horizontal="center"/>
      <protection locked="0"/>
    </xf>
    <xf numFmtId="0" fontId="91" fillId="52" borderId="18" xfId="0" applyFont="1" applyFill="1" applyBorder="1" applyAlignment="1">
      <alignment horizontal="center"/>
    </xf>
    <xf numFmtId="0" fontId="11" fillId="54" borderId="18" xfId="0" applyFont="1" applyFill="1" applyBorder="1" applyAlignment="1">
      <alignment horizontal="center"/>
    </xf>
    <xf numFmtId="0" fontId="10" fillId="55" borderId="0" xfId="0" applyFont="1" applyFill="1" applyBorder="1" applyAlignment="1" applyProtection="1">
      <alignment horizontal="center"/>
      <protection locked="0"/>
    </xf>
    <xf numFmtId="0" fontId="10" fillId="56" borderId="0" xfId="0" applyFont="1" applyFill="1" applyBorder="1" applyAlignment="1" applyProtection="1">
      <alignment horizontal="center"/>
      <protection locked="0"/>
    </xf>
    <xf numFmtId="0" fontId="91" fillId="55" borderId="18" xfId="0" applyFont="1" applyFill="1" applyBorder="1" applyAlignment="1">
      <alignment horizontal="center"/>
    </xf>
    <xf numFmtId="0" fontId="11" fillId="57" borderId="18" xfId="0" applyFont="1" applyFill="1" applyBorder="1" applyAlignment="1">
      <alignment horizontal="center"/>
    </xf>
    <xf numFmtId="0" fontId="23" fillId="22" borderId="18" xfId="0" applyFont="1" applyFill="1" applyBorder="1" applyAlignment="1" applyProtection="1">
      <alignment horizontal="center"/>
      <protection/>
    </xf>
    <xf numFmtId="0" fontId="33" fillId="22" borderId="29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32" fillId="50" borderId="0" xfId="0" applyFont="1" applyFill="1" applyBorder="1" applyAlignment="1">
      <alignment horizontal="center"/>
    </xf>
    <xf numFmtId="0" fontId="11" fillId="54" borderId="27" xfId="0" applyFont="1" applyFill="1" applyBorder="1" applyAlignment="1">
      <alignment horizontal="center"/>
    </xf>
    <xf numFmtId="0" fontId="11" fillId="54" borderId="0" xfId="0" applyFont="1" applyFill="1" applyBorder="1" applyAlignment="1">
      <alignment horizontal="center"/>
    </xf>
    <xf numFmtId="0" fontId="8" fillId="0" borderId="14" xfId="0" applyFont="1" applyBorder="1" applyAlignment="1" applyProtection="1">
      <alignment horizontal="center" vertical="center"/>
      <protection/>
    </xf>
    <xf numFmtId="0" fontId="15" fillId="47" borderId="13" xfId="0" applyFont="1" applyFill="1" applyBorder="1" applyAlignment="1" applyProtection="1">
      <alignment horizontal="center"/>
      <protection/>
    </xf>
    <xf numFmtId="2" fontId="8" fillId="0" borderId="14" xfId="0" applyNumberFormat="1" applyFont="1" applyBorder="1" applyAlignment="1">
      <alignment horizontal="center" textRotation="90"/>
    </xf>
    <xf numFmtId="0" fontId="10" fillId="0" borderId="15" xfId="0" applyFont="1" applyFill="1" applyBorder="1" applyAlignment="1">
      <alignment horizontal="center" textRotation="90"/>
    </xf>
    <xf numFmtId="0" fontId="32" fillId="0" borderId="34" xfId="0" applyFont="1" applyFill="1" applyBorder="1" applyAlignment="1">
      <alignment horizontal="center" vertical="center"/>
    </xf>
    <xf numFmtId="0" fontId="32" fillId="49" borderId="31" xfId="0" applyFont="1" applyFill="1" applyBorder="1" applyAlignment="1">
      <alignment horizontal="center"/>
    </xf>
    <xf numFmtId="0" fontId="32" fillId="49" borderId="18" xfId="0" applyFont="1" applyFill="1" applyBorder="1" applyAlignment="1">
      <alignment horizontal="center"/>
    </xf>
    <xf numFmtId="15" fontId="9" fillId="50" borderId="19" xfId="0" applyNumberFormat="1" applyFont="1" applyFill="1" applyBorder="1" applyAlignment="1">
      <alignment horizontal="center" vertical="center" textRotation="90"/>
    </xf>
    <xf numFmtId="0" fontId="32" fillId="49" borderId="17" xfId="0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5" fillId="33" borderId="30" xfId="0" applyFont="1" applyFill="1" applyBorder="1" applyAlignment="1" applyProtection="1">
      <alignment horizontal="center"/>
      <protection/>
    </xf>
    <xf numFmtId="3" fontId="11" fillId="33" borderId="23" xfId="0" applyNumberFormat="1" applyFont="1" applyFill="1" applyBorder="1" applyAlignment="1" applyProtection="1">
      <alignment horizontal="center"/>
      <protection/>
    </xf>
    <xf numFmtId="0" fontId="9" fillId="50" borderId="14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3" fontId="11" fillId="47" borderId="17" xfId="0" applyNumberFormat="1" applyFont="1" applyFill="1" applyBorder="1" applyAlignment="1" applyProtection="1">
      <alignment horizontal="center" vertical="center"/>
      <protection/>
    </xf>
    <xf numFmtId="3" fontId="12" fillId="33" borderId="19" xfId="0" applyNumberFormat="1" applyFont="1" applyFill="1" applyBorder="1" applyAlignment="1" applyProtection="1">
      <alignment horizontal="center" vertical="center"/>
      <protection/>
    </xf>
    <xf numFmtId="0" fontId="32" fillId="53" borderId="43" xfId="0" applyFont="1" applyFill="1" applyBorder="1" applyAlignment="1">
      <alignment horizontal="center"/>
    </xf>
    <xf numFmtId="0" fontId="32" fillId="50" borderId="43" xfId="0" applyFont="1" applyFill="1" applyBorder="1" applyAlignment="1">
      <alignment horizontal="center"/>
    </xf>
    <xf numFmtId="0" fontId="32" fillId="50" borderId="44" xfId="0" applyFont="1" applyFill="1" applyBorder="1" applyAlignment="1">
      <alignment horizontal="center"/>
    </xf>
    <xf numFmtId="0" fontId="33" fillId="50" borderId="18" xfId="0" applyFont="1" applyFill="1" applyBorder="1" applyAlignment="1" applyProtection="1">
      <alignment horizontal="center" vertical="center"/>
      <protection/>
    </xf>
    <xf numFmtId="0" fontId="32" fillId="50" borderId="31" xfId="0" applyFont="1" applyFill="1" applyBorder="1" applyAlignment="1">
      <alignment horizontal="center"/>
    </xf>
    <xf numFmtId="0" fontId="32" fillId="50" borderId="18" xfId="0" applyFont="1" applyFill="1" applyBorder="1" applyAlignment="1">
      <alignment horizontal="center"/>
    </xf>
    <xf numFmtId="3" fontId="11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>
      <alignment horizontal="center" vertical="center"/>
    </xf>
    <xf numFmtId="14" fontId="9" fillId="0" borderId="17" xfId="0" applyNumberFormat="1" applyFont="1" applyFill="1" applyBorder="1" applyAlignment="1">
      <alignment horizontal="center"/>
    </xf>
    <xf numFmtId="0" fontId="8" fillId="22" borderId="19" xfId="0" applyFont="1" applyFill="1" applyBorder="1" applyAlignment="1">
      <alignment horizontal="center" vertical="center"/>
    </xf>
    <xf numFmtId="0" fontId="11" fillId="22" borderId="14" xfId="0" applyFont="1" applyFill="1" applyBorder="1" applyAlignment="1">
      <alignment horizontal="center" vertical="center"/>
    </xf>
    <xf numFmtId="14" fontId="12" fillId="22" borderId="14" xfId="0" applyNumberFormat="1" applyFont="1" applyFill="1" applyBorder="1" applyAlignment="1">
      <alignment horizontal="center"/>
    </xf>
    <xf numFmtId="0" fontId="10" fillId="47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19" fillId="26" borderId="19" xfId="0" applyFont="1" applyFill="1" applyBorder="1" applyAlignment="1">
      <alignment horizontal="center" vertical="center" wrapText="1"/>
    </xf>
    <xf numFmtId="175" fontId="9" fillId="0" borderId="18" xfId="0" applyNumberFormat="1" applyFont="1" applyBorder="1" applyAlignment="1">
      <alignment horizontal="center" vertical="center"/>
    </xf>
    <xf numFmtId="0" fontId="22" fillId="22" borderId="19" xfId="0" applyFont="1" applyFill="1" applyBorder="1" applyAlignment="1">
      <alignment horizontal="center"/>
    </xf>
    <xf numFmtId="0" fontId="23" fillId="22" borderId="14" xfId="0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0" fontId="10" fillId="28" borderId="19" xfId="0" applyFont="1" applyFill="1" applyBorder="1" applyAlignment="1">
      <alignment horizontal="center" vertical="center"/>
    </xf>
    <xf numFmtId="0" fontId="26" fillId="28" borderId="19" xfId="0" applyFont="1" applyFill="1" applyBorder="1" applyAlignment="1">
      <alignment horizontal="center" vertical="center" wrapText="1"/>
    </xf>
    <xf numFmtId="0" fontId="8" fillId="28" borderId="14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 wrapText="1"/>
    </xf>
    <xf numFmtId="3" fontId="25" fillId="25" borderId="14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50" borderId="17" xfId="0" applyFont="1" applyFill="1" applyBorder="1" applyAlignment="1">
      <alignment horizontal="center"/>
    </xf>
    <xf numFmtId="0" fontId="27" fillId="28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/>
    </xf>
    <xf numFmtId="9" fontId="11" fillId="0" borderId="16" xfId="72" applyNumberFormat="1" applyFont="1" applyFill="1" applyBorder="1" applyAlignment="1" applyProtection="1">
      <alignment horizontal="center" vertical="center"/>
      <protection/>
    </xf>
    <xf numFmtId="9" fontId="29" fillId="0" borderId="27" xfId="72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>
      <alignment horizontal="center" vertical="center" textRotation="90"/>
    </xf>
    <xf numFmtId="0" fontId="9" fillId="49" borderId="19" xfId="0" applyFont="1" applyFill="1" applyBorder="1" applyAlignment="1">
      <alignment horizontal="center"/>
    </xf>
    <xf numFmtId="0" fontId="32" fillId="49" borderId="17" xfId="0" applyFont="1" applyFill="1" applyBorder="1" applyAlignment="1">
      <alignment horizontal="center"/>
    </xf>
    <xf numFmtId="0" fontId="33" fillId="45" borderId="17" xfId="0" applyFont="1" applyFill="1" applyBorder="1" applyAlignment="1">
      <alignment horizontal="center"/>
    </xf>
    <xf numFmtId="0" fontId="32" fillId="28" borderId="17" xfId="0" applyFont="1" applyFill="1" applyBorder="1" applyAlignment="1">
      <alignment horizontal="center"/>
    </xf>
    <xf numFmtId="0" fontId="26" fillId="28" borderId="30" xfId="0" applyFont="1" applyFill="1" applyBorder="1" applyAlignment="1">
      <alignment horizontal="center" textRotation="90"/>
    </xf>
    <xf numFmtId="0" fontId="26" fillId="28" borderId="23" xfId="0" applyFont="1" applyFill="1" applyBorder="1" applyAlignment="1">
      <alignment horizontal="center" textRotation="90"/>
    </xf>
    <xf numFmtId="0" fontId="33" fillId="28" borderId="17" xfId="0" applyFont="1" applyFill="1" applyBorder="1" applyAlignment="1">
      <alignment horizontal="center"/>
    </xf>
    <xf numFmtId="0" fontId="23" fillId="45" borderId="23" xfId="0" applyFont="1" applyFill="1" applyBorder="1" applyAlignment="1">
      <alignment horizontal="center"/>
    </xf>
    <xf numFmtId="0" fontId="23" fillId="28" borderId="29" xfId="0" applyFont="1" applyFill="1" applyBorder="1" applyAlignment="1">
      <alignment horizontal="center"/>
    </xf>
    <xf numFmtId="0" fontId="34" fillId="28" borderId="34" xfId="0" applyFont="1" applyFill="1" applyBorder="1" applyAlignment="1">
      <alignment horizontal="center"/>
    </xf>
    <xf numFmtId="0" fontId="8" fillId="28" borderId="30" xfId="0" applyFont="1" applyFill="1" applyBorder="1" applyAlignment="1">
      <alignment horizontal="center"/>
    </xf>
    <xf numFmtId="0" fontId="33" fillId="28" borderId="23" xfId="0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center" vertical="center"/>
    </xf>
    <xf numFmtId="0" fontId="15" fillId="47" borderId="18" xfId="0" applyFont="1" applyFill="1" applyBorder="1" applyAlignment="1">
      <alignment horizontal="center"/>
    </xf>
    <xf numFmtId="3" fontId="11" fillId="47" borderId="27" xfId="0" applyNumberFormat="1" applyFont="1" applyFill="1" applyBorder="1" applyAlignment="1">
      <alignment horizontal="center"/>
    </xf>
    <xf numFmtId="3" fontId="11" fillId="33" borderId="19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178" fontId="11" fillId="47" borderId="31" xfId="0" applyNumberFormat="1" applyFont="1" applyFill="1" applyBorder="1" applyAlignment="1">
      <alignment horizontal="center" vertical="center"/>
    </xf>
    <xf numFmtId="179" fontId="11" fillId="47" borderId="18" xfId="72" applyNumberFormat="1" applyFont="1" applyFill="1" applyBorder="1" applyAlignment="1" applyProtection="1">
      <alignment horizontal="center"/>
      <protection/>
    </xf>
    <xf numFmtId="178" fontId="11" fillId="47" borderId="27" xfId="0" applyNumberFormat="1" applyFont="1" applyFill="1" applyBorder="1" applyAlignment="1">
      <alignment horizontal="center"/>
    </xf>
    <xf numFmtId="177" fontId="12" fillId="33" borderId="19" xfId="0" applyNumberFormat="1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/>
    </xf>
    <xf numFmtId="178" fontId="11" fillId="33" borderId="30" xfId="0" applyNumberFormat="1" applyFont="1" applyFill="1" applyBorder="1" applyAlignment="1">
      <alignment horizontal="center" vertical="center"/>
    </xf>
    <xf numFmtId="179" fontId="11" fillId="33" borderId="23" xfId="72" applyNumberFormat="1" applyFont="1" applyFill="1" applyBorder="1" applyAlignment="1" applyProtection="1">
      <alignment horizontal="center"/>
      <protection/>
    </xf>
    <xf numFmtId="178" fontId="11" fillId="33" borderId="29" xfId="0" applyNumberFormat="1" applyFont="1" applyFill="1" applyBorder="1" applyAlignment="1">
      <alignment horizontal="center"/>
    </xf>
    <xf numFmtId="9" fontId="11" fillId="28" borderId="19" xfId="72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/>
    </xf>
    <xf numFmtId="0" fontId="35" fillId="0" borderId="19" xfId="0" applyNumberFormat="1" applyFont="1" applyFill="1" applyBorder="1" applyAlignment="1">
      <alignment horizontal="center" vertical="center"/>
    </xf>
    <xf numFmtId="3" fontId="36" fillId="0" borderId="19" xfId="0" applyNumberFormat="1" applyFont="1" applyFill="1" applyBorder="1" applyAlignment="1">
      <alignment horizontal="center" vertical="center"/>
    </xf>
    <xf numFmtId="174" fontId="37" fillId="0" borderId="19" xfId="72" applyNumberFormat="1" applyFont="1" applyFill="1" applyBorder="1" applyAlignment="1" applyProtection="1">
      <alignment horizontal="center" vertical="center"/>
      <protection/>
    </xf>
    <xf numFmtId="3" fontId="11" fillId="0" borderId="14" xfId="0" applyNumberFormat="1" applyFont="1" applyFill="1" applyBorder="1" applyAlignment="1">
      <alignment horizontal="center" vertical="center"/>
    </xf>
    <xf numFmtId="3" fontId="35" fillId="0" borderId="11" xfId="0" applyNumberFormat="1" applyFont="1" applyFill="1" applyBorder="1" applyAlignment="1">
      <alignment horizontal="center" vertical="center"/>
    </xf>
    <xf numFmtId="3" fontId="31" fillId="0" borderId="29" xfId="0" applyNumberFormat="1" applyFont="1" applyBorder="1" applyAlignment="1">
      <alignment horizontal="center"/>
    </xf>
    <xf numFmtId="177" fontId="12" fillId="47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10" fillId="25" borderId="14" xfId="0" applyFont="1" applyFill="1" applyBorder="1" applyAlignment="1">
      <alignment horizontal="center" textRotation="90"/>
    </xf>
    <xf numFmtId="0" fontId="32" fillId="47" borderId="19" xfId="0" applyFont="1" applyFill="1" applyBorder="1" applyAlignment="1">
      <alignment horizontal="center" vertical="center"/>
    </xf>
    <xf numFmtId="2" fontId="39" fillId="21" borderId="19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/>
    </xf>
    <xf numFmtId="0" fontId="32" fillId="45" borderId="17" xfId="0" applyFont="1" applyFill="1" applyBorder="1" applyAlignment="1">
      <alignment horizontal="center"/>
    </xf>
    <xf numFmtId="3" fontId="34" fillId="28" borderId="23" xfId="0" applyNumberFormat="1" applyFont="1" applyFill="1" applyBorder="1" applyAlignment="1">
      <alignment horizontal="center"/>
    </xf>
    <xf numFmtId="15" fontId="25" fillId="49" borderId="19" xfId="0" applyNumberFormat="1" applyFont="1" applyFill="1" applyBorder="1" applyAlignment="1">
      <alignment horizontal="center" vertical="center" textRotation="90"/>
    </xf>
    <xf numFmtId="0" fontId="32" fillId="28" borderId="18" xfId="0" applyFont="1" applyFill="1" applyBorder="1" applyAlignment="1" applyProtection="1">
      <alignment horizontal="center"/>
      <protection/>
    </xf>
    <xf numFmtId="0" fontId="26" fillId="28" borderId="23" xfId="0" applyFont="1" applyFill="1" applyBorder="1" applyAlignment="1" applyProtection="1">
      <alignment horizontal="center" textRotation="90"/>
      <protection/>
    </xf>
    <xf numFmtId="0" fontId="33" fillId="28" borderId="11" xfId="0" applyFont="1" applyFill="1" applyBorder="1" applyAlignment="1" applyProtection="1">
      <alignment horizontal="center"/>
      <protection/>
    </xf>
    <xf numFmtId="0" fontId="33" fillId="49" borderId="34" xfId="0" applyFont="1" applyFill="1" applyBorder="1" applyAlignment="1" applyProtection="1">
      <alignment horizontal="center"/>
      <protection/>
    </xf>
    <xf numFmtId="0" fontId="33" fillId="28" borderId="29" xfId="0" applyFont="1" applyFill="1" applyBorder="1" applyAlignment="1" applyProtection="1">
      <alignment horizontal="center"/>
      <protection/>
    </xf>
    <xf numFmtId="0" fontId="33" fillId="28" borderId="34" xfId="0" applyFont="1" applyFill="1" applyBorder="1" applyAlignment="1" applyProtection="1">
      <alignment horizontal="center"/>
      <protection/>
    </xf>
    <xf numFmtId="0" fontId="33" fillId="28" borderId="23" xfId="0" applyFont="1" applyFill="1" applyBorder="1" applyAlignment="1" applyProtection="1">
      <alignment horizontal="center"/>
      <protection/>
    </xf>
    <xf numFmtId="3" fontId="11" fillId="47" borderId="17" xfId="0" applyNumberFormat="1" applyFont="1" applyFill="1" applyBorder="1" applyAlignment="1" applyProtection="1">
      <alignment horizontal="center"/>
      <protection/>
    </xf>
    <xf numFmtId="3" fontId="8" fillId="33" borderId="19" xfId="0" applyNumberFormat="1" applyFont="1" applyFill="1" applyBorder="1" applyAlignment="1" applyProtection="1">
      <alignment horizontal="center" vertical="center"/>
      <protection/>
    </xf>
    <xf numFmtId="179" fontId="37" fillId="47" borderId="17" xfId="72" applyNumberFormat="1" applyFont="1" applyFill="1" applyBorder="1" applyAlignment="1" applyProtection="1">
      <alignment horizontal="center"/>
      <protection/>
    </xf>
    <xf numFmtId="177" fontId="12" fillId="47" borderId="17" xfId="0" applyNumberFormat="1" applyFont="1" applyFill="1" applyBorder="1" applyAlignment="1" applyProtection="1">
      <alignment horizontal="center" vertical="center"/>
      <protection/>
    </xf>
    <xf numFmtId="177" fontId="12" fillId="33" borderId="17" xfId="0" applyNumberFormat="1" applyFont="1" applyFill="1" applyBorder="1" applyAlignment="1" applyProtection="1">
      <alignment horizontal="center" vertical="center"/>
      <protection/>
    </xf>
    <xf numFmtId="173" fontId="11" fillId="33" borderId="23" xfId="0" applyNumberFormat="1" applyFont="1" applyFill="1" applyBorder="1" applyAlignment="1" applyProtection="1">
      <alignment horizontal="center"/>
      <protection/>
    </xf>
    <xf numFmtId="9" fontId="8" fillId="28" borderId="17" xfId="72" applyFont="1" applyFill="1" applyBorder="1" applyAlignment="1" applyProtection="1">
      <alignment horizontal="center"/>
      <protection/>
    </xf>
    <xf numFmtId="3" fontId="36" fillId="0" borderId="11" xfId="0" applyNumberFormat="1" applyFont="1" applyFill="1" applyBorder="1" applyAlignment="1" applyProtection="1">
      <alignment horizontal="center"/>
      <protection/>
    </xf>
    <xf numFmtId="174" fontId="36" fillId="0" borderId="11" xfId="72" applyNumberFormat="1" applyFont="1" applyFill="1" applyBorder="1" applyAlignment="1" applyProtection="1">
      <alignment horizontal="center"/>
      <protection/>
    </xf>
    <xf numFmtId="174" fontId="11" fillId="0" borderId="11" xfId="0" applyNumberFormat="1" applyFont="1" applyFill="1" applyBorder="1" applyAlignment="1" applyProtection="1">
      <alignment horizontal="center"/>
      <protection/>
    </xf>
    <xf numFmtId="0" fontId="32" fillId="28" borderId="27" xfId="0" applyFont="1" applyFill="1" applyBorder="1" applyAlignment="1">
      <alignment horizontal="center"/>
    </xf>
    <xf numFmtId="3" fontId="48" fillId="28" borderId="23" xfId="0" applyNumberFormat="1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textRotation="90"/>
    </xf>
  </cellXfs>
  <cellStyles count="7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Commentaire" xfId="60"/>
    <cellStyle name="Emphase 1" xfId="61"/>
    <cellStyle name="Emphase 2" xfId="62"/>
    <cellStyle name="Emphase 3" xfId="63"/>
    <cellStyle name="Entrée" xfId="64"/>
    <cellStyle name="Excel_BuiltIn_Sortie" xfId="65"/>
    <cellStyle name="Insatisfaisant" xfId="66"/>
    <cellStyle name="Comma" xfId="67"/>
    <cellStyle name="Comma [0]" xfId="68"/>
    <cellStyle name="Currency" xfId="69"/>
    <cellStyle name="Currency [0]" xfId="70"/>
    <cellStyle name="Neutre" xfId="71"/>
    <cellStyle name="Percent" xfId="72"/>
    <cellStyle name="Satisfaisant" xfId="73"/>
    <cellStyle name="Sortie" xfId="74"/>
    <cellStyle name="Texte explicatif" xfId="75"/>
    <cellStyle name="Titre" xfId="76"/>
    <cellStyle name="Titre de la feuille" xfId="77"/>
    <cellStyle name="Titre 1" xfId="78"/>
    <cellStyle name="Titre 2" xfId="79"/>
    <cellStyle name="Titre 3" xfId="80"/>
    <cellStyle name="Titre 4" xfId="81"/>
    <cellStyle name="Total" xfId="82"/>
    <cellStyle name="Vérificatio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6767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A0A0"/>
      <rgbColor rgb="000066CC"/>
      <rgbColor rgb="00CCCCFF"/>
      <rgbColor rgb="00000080"/>
      <rgbColor rgb="00FF00FF"/>
      <rgbColor rgb="00D0D0D0"/>
      <rgbColor rgb="0000FFFF"/>
      <rgbColor rgb="00800080"/>
      <rgbColor rgb="00800000"/>
      <rgbColor rgb="00008080"/>
      <rgbColor rgb="000000FF"/>
      <rgbColor rgb="0000B0F0"/>
      <rgbColor rgb="00D9D9D9"/>
      <rgbColor rgb="00CCFFCC"/>
      <rgbColor rgb="00FFFF99"/>
      <rgbColor rgb="0099CCFF"/>
      <rgbColor rgb="00FF99CC"/>
      <rgbColor rgb="00B1B1B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5"/>
          <c:w val="0.94425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 cours'!$D$13:$D$30</c:f>
              <c:strCache>
                <c:ptCount val="18"/>
                <c:pt idx="0">
                  <c:v>AUT Auto</c:v>
                </c:pt>
                <c:pt idx="1">
                  <c:v>BNK Banques</c:v>
                </c:pt>
                <c:pt idx="2">
                  <c:v>BAS Bases</c:v>
                </c:pt>
                <c:pt idx="3">
                  <c:v>CHM Chimie</c:v>
                </c:pt>
                <c:pt idx="4">
                  <c:v>CST Constr</c:v>
                </c:pt>
                <c:pt idx="5">
                  <c:v>FOO Alim</c:v>
                </c:pt>
                <c:pt idx="6">
                  <c:v>FIN Finance</c:v>
                </c:pt>
                <c:pt idx="7">
                  <c:v>HLT Santé</c:v>
                </c:pt>
                <c:pt idx="8">
                  <c:v>IND Industrie</c:v>
                </c:pt>
                <c:pt idx="9">
                  <c:v>INS Assur</c:v>
                </c:pt>
                <c:pt idx="10">
                  <c:v>MDA Media</c:v>
                </c:pt>
                <c:pt idx="11">
                  <c:v>OIL Energie</c:v>
                </c:pt>
                <c:pt idx="12">
                  <c:v>PHG Non Cycliq</c:v>
                </c:pt>
                <c:pt idx="13">
                  <c:v>RTA Distri</c:v>
                </c:pt>
                <c:pt idx="14">
                  <c:v>TNO Techno</c:v>
                </c:pt>
                <c:pt idx="15">
                  <c:v>TEL Telecom</c:v>
                </c:pt>
                <c:pt idx="16">
                  <c:v>TRV Cycliq</c:v>
                </c:pt>
                <c:pt idx="17">
                  <c:v>UTI Utility</c:v>
                </c:pt>
              </c:strCache>
            </c:strRef>
          </c:cat>
          <c:val>
            <c:numRef>
              <c:f>'En cours'!$E$13:$E$30</c:f>
              <c:numCache>
                <c:ptCount val="18"/>
                <c:pt idx="0">
                  <c:v>52.76839348800932</c:v>
                </c:pt>
                <c:pt idx="1">
                  <c:v>32.09867742046172</c:v>
                </c:pt>
                <c:pt idx="2">
                  <c:v>68.8391983987632</c:v>
                </c:pt>
                <c:pt idx="3">
                  <c:v>43.08186199780726</c:v>
                </c:pt>
                <c:pt idx="4">
                  <c:v>55.293315803478556</c:v>
                </c:pt>
                <c:pt idx="5">
                  <c:v>31.69765716290248</c:v>
                </c:pt>
                <c:pt idx="6">
                  <c:v>51.403525526971315</c:v>
                </c:pt>
                <c:pt idx="7">
                  <c:v>-9.192318849074832</c:v>
                </c:pt>
                <c:pt idx="8">
                  <c:v>45.17143674436974</c:v>
                </c:pt>
                <c:pt idx="9">
                  <c:v>11.940894568690098</c:v>
                </c:pt>
                <c:pt idx="10">
                  <c:v>0</c:v>
                </c:pt>
                <c:pt idx="11">
                  <c:v>1.3445378151260678</c:v>
                </c:pt>
                <c:pt idx="12">
                  <c:v>38.22601864510477</c:v>
                </c:pt>
                <c:pt idx="13">
                  <c:v>46.85872066267834</c:v>
                </c:pt>
                <c:pt idx="14">
                  <c:v>4.272418173708925</c:v>
                </c:pt>
                <c:pt idx="15">
                  <c:v>35.31361168620211</c:v>
                </c:pt>
                <c:pt idx="16">
                  <c:v>26.613557946011767</c:v>
                </c:pt>
                <c:pt idx="17">
                  <c:v>56.58884879815154</c:v>
                </c:pt>
              </c:numCache>
            </c:numRef>
          </c:val>
        </c:ser>
        <c:axId val="57436701"/>
        <c:axId val="47168262"/>
      </c:barChart>
      <c:catAx>
        <c:axId val="57436701"/>
        <c:scaling>
          <c:orientation val="minMax"/>
        </c:scaling>
        <c:axPos val="b"/>
        <c:delete val="1"/>
        <c:majorTickMark val="out"/>
        <c:minorTickMark val="none"/>
        <c:tickLblPos val="nextTo"/>
        <c:crossAx val="47168262"/>
        <c:crosses val="autoZero"/>
        <c:auto val="1"/>
        <c:lblOffset val="100"/>
        <c:tickLblSkip val="1"/>
        <c:noMultiLvlLbl val="0"/>
      </c:catAx>
      <c:valAx>
        <c:axId val="47168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Return  B ARAKA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
</a:t>
                </a:r>
              </a:p>
            </c:rich>
          </c:tx>
          <c:layout>
            <c:manualLayout>
              <c:xMode val="factor"/>
              <c:yMode val="factor"/>
              <c:x val="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367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66CC"/>
                </a:solidFill>
              </a:defRPr>
            </a:pPr>
          </a:p>
        </c:txPr>
      </c:dTable>
      <c:spPr>
        <a:blipFill>
          <a:blip r:embed="rId2"/>
          <a:srcRect/>
          <a:tile sx="100000" sy="100000" flip="none" algn="tl"/>
        </a:blipFill>
        <a:ln w="25400">
          <a:solidFill>
            <a:srgbClr val="33CC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% (valorisé en EURO)
comparé aux indices boursiers  </a:t>
            </a:r>
          </a:p>
        </c:rich>
      </c:tx>
      <c:layout>
        <c:manualLayout>
          <c:xMode val="factor"/>
          <c:yMode val="factor"/>
          <c:x val="0.008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27975"/>
          <c:w val="0.689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Evolution!$E$5</c:f>
              <c:numCache>
                <c:ptCount val="1"/>
                <c:pt idx="0">
                  <c:v>0.20261441285334403</c:v>
                </c:pt>
              </c:numCache>
            </c:numRef>
          </c:val>
        </c:ser>
        <c:axId val="21861175"/>
        <c:axId val="62532848"/>
      </c:barChart>
      <c:catAx>
        <c:axId val="218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2848"/>
        <c:crossesAt val="0"/>
        <c:auto val="1"/>
        <c:lblOffset val="100"/>
        <c:tickLblSkip val="1"/>
        <c:noMultiLvlLbl val="0"/>
      </c:catAx>
      <c:valAx>
        <c:axId val="62532848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B1B1B1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1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45"/>
          <c:y val="0.20825"/>
          <c:w val="0.0507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Résultats comparés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875"/>
          <c:y val="0.25125"/>
          <c:w val="0.10875"/>
          <c:h val="0.10825"/>
        </c:manualLayout>
      </c:layout>
      <c:barChart>
        <c:barDir val="col"/>
        <c:grouping val="clustered"/>
        <c:varyColors val="0"/>
        <c:axId val="25924721"/>
        <c:axId val="31995898"/>
      </c:bar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Résultats comparés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875"/>
          <c:y val="0.25125"/>
          <c:w val="0.10875"/>
          <c:h val="0.10825"/>
        </c:manualLayout>
      </c:layout>
      <c:barChart>
        <c:barDir val="col"/>
        <c:grouping val="clustered"/>
        <c:varyColors val="0"/>
        <c:axId val="19527627"/>
        <c:axId val="41530916"/>
      </c:barChart>
      <c:catAx>
        <c:axId val="195276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16"/>
        <c:crosses val="autoZero"/>
        <c:auto val="1"/>
        <c:lblOffset val="100"/>
        <c:tickLblSkip val="1"/>
        <c:noMultiLvlLbl val="0"/>
      </c:catAx>
      <c:valAx>
        <c:axId val="4153091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Résultats comparés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875"/>
          <c:y val="0.25125"/>
          <c:w val="0.10875"/>
          <c:h val="0.10825"/>
        </c:manualLayout>
      </c:layout>
      <c:barChart>
        <c:barDir val="col"/>
        <c:grouping val="clustered"/>
        <c:varyColors val="0"/>
        <c:axId val="38233925"/>
        <c:axId val="8561006"/>
      </c:bar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233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Résultats comparés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875"/>
          <c:y val="0.25125"/>
          <c:w val="0.10875"/>
          <c:h val="0.10825"/>
        </c:manualLayout>
      </c:layout>
      <c:barChart>
        <c:barDir val="col"/>
        <c:grouping val="clustered"/>
        <c:varyColors val="0"/>
        <c:axId val="9940191"/>
        <c:axId val="22352856"/>
      </c:barChart>
      <c:catAx>
        <c:axId val="99401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52856"/>
        <c:crosses val="autoZero"/>
        <c:auto val="1"/>
        <c:lblOffset val="100"/>
        <c:tickLblSkip val="1"/>
        <c:noMultiLvlLbl val="0"/>
      </c:catAx>
      <c:valAx>
        <c:axId val="223528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40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0.003</cdr:y>
    </cdr:from>
    <cdr:to>
      <cdr:x>0.00275</cdr:x>
      <cdr:y>0.003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28575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WAoFCDl63i90u78cB4mhse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104775</xdr:rowOff>
    </xdr:from>
    <xdr:to>
      <xdr:col>14</xdr:col>
      <xdr:colOff>714375</xdr:colOff>
      <xdr:row>35</xdr:row>
      <xdr:rowOff>85725</xdr:rowOff>
    </xdr:to>
    <xdr:graphicFrame>
      <xdr:nvGraphicFramePr>
        <xdr:cNvPr id="1" name="Graphique 1"/>
        <xdr:cNvGraphicFramePr/>
      </xdr:nvGraphicFramePr>
      <xdr:xfrm>
        <a:off x="0" y="504825"/>
        <a:ext cx="104394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28575</xdr:rowOff>
    </xdr:from>
    <xdr:to>
      <xdr:col>9</xdr:col>
      <xdr:colOff>752475</xdr:colOff>
      <xdr:row>33</xdr:row>
      <xdr:rowOff>0</xdr:rowOff>
    </xdr:to>
    <xdr:graphicFrame>
      <xdr:nvGraphicFramePr>
        <xdr:cNvPr id="1" name="Graphique 1"/>
        <xdr:cNvGraphicFramePr/>
      </xdr:nvGraphicFramePr>
      <xdr:xfrm>
        <a:off x="0" y="1400175"/>
        <a:ext cx="66675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graphicFrame>
      <xdr:nvGraphicFramePr>
        <xdr:cNvPr id="1" name="Graphique 1"/>
        <xdr:cNvGraphicFramePr/>
      </xdr:nvGraphicFramePr>
      <xdr:xfrm>
        <a:off x="7496175" y="1133475"/>
        <a:ext cx="95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180975</xdr:rowOff>
    </xdr:from>
    <xdr:to>
      <xdr:col>13</xdr:col>
      <xdr:colOff>9525</xdr:colOff>
      <xdr:row>14</xdr:row>
      <xdr:rowOff>190500</xdr:rowOff>
    </xdr:to>
    <xdr:graphicFrame>
      <xdr:nvGraphicFramePr>
        <xdr:cNvPr id="1" name="Graphique 1"/>
        <xdr:cNvGraphicFramePr/>
      </xdr:nvGraphicFramePr>
      <xdr:xfrm>
        <a:off x="7029450" y="3752850"/>
        <a:ext cx="95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647700</xdr:colOff>
      <xdr:row>14</xdr:row>
      <xdr:rowOff>180975</xdr:rowOff>
    </xdr:from>
    <xdr:to>
      <xdr:col>14</xdr:col>
      <xdr:colOff>9525</xdr:colOff>
      <xdr:row>14</xdr:row>
      <xdr:rowOff>190500</xdr:rowOff>
    </xdr:to>
    <xdr:graphicFrame>
      <xdr:nvGraphicFramePr>
        <xdr:cNvPr id="2" name="Graphique 2"/>
        <xdr:cNvGraphicFramePr/>
      </xdr:nvGraphicFramePr>
      <xdr:xfrm>
        <a:off x="7677150" y="3752850"/>
        <a:ext cx="9525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14</xdr:row>
      <xdr:rowOff>180975</xdr:rowOff>
    </xdr:from>
    <xdr:to>
      <xdr:col>16</xdr:col>
      <xdr:colOff>9525</xdr:colOff>
      <xdr:row>14</xdr:row>
      <xdr:rowOff>190500</xdr:rowOff>
    </xdr:to>
    <xdr:graphicFrame>
      <xdr:nvGraphicFramePr>
        <xdr:cNvPr id="3" name="Graphique 3"/>
        <xdr:cNvGraphicFramePr/>
      </xdr:nvGraphicFramePr>
      <xdr:xfrm>
        <a:off x="8610600" y="3752850"/>
        <a:ext cx="9525" cy="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zoomScale="130" zoomScaleNormal="13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N11" sqref="N11"/>
    </sheetView>
  </sheetViews>
  <sheetFormatPr defaultColWidth="11.421875" defaultRowHeight="12.75" outlineLevelRow="1" outlineLevelCol="1"/>
  <cols>
    <col min="1" max="1" width="0.85546875" style="0" customWidth="1"/>
    <col min="2" max="2" width="1.7109375" style="0" customWidth="1"/>
    <col min="3" max="3" width="5.140625" style="0" customWidth="1"/>
    <col min="4" max="4" width="7.7109375" style="0" customWidth="1"/>
    <col min="5" max="8" width="4.7109375" style="0" customWidth="1"/>
    <col min="9" max="9" width="1.7109375" style="0" customWidth="1"/>
    <col min="10" max="12" width="4.7109375" style="0" customWidth="1"/>
    <col min="13" max="13" width="4.140625" style="0" customWidth="1"/>
    <col min="14" max="14" width="9.421875" style="0" customWidth="1"/>
    <col min="15" max="15" width="3.8515625" style="0" customWidth="1"/>
    <col min="16" max="16" width="5.7109375" style="0" customWidth="1"/>
    <col min="17" max="21" width="4.7109375" style="0" customWidth="1"/>
    <col min="22" max="22" width="1.7109375" style="0" customWidth="1"/>
    <col min="23" max="25" width="4.7109375" style="0" customWidth="1"/>
    <col min="26" max="26" width="4.140625" style="0" customWidth="1"/>
    <col min="27" max="27" width="2.7109375" style="0" customWidth="1"/>
    <col min="28" max="28" width="9.00390625" style="0" customWidth="1" outlineLevel="1"/>
    <col min="29" max="29" width="4.57421875" style="0" customWidth="1" outlineLevel="1"/>
    <col min="30" max="30" width="6.8515625" style="0" customWidth="1"/>
  </cols>
  <sheetData>
    <row r="1" spans="2:30" ht="19.5" customHeight="1" outlineLevel="1" thickBot="1">
      <c r="B1" s="367">
        <f>+CX_jour!B1</f>
        <v>40053</v>
      </c>
      <c r="C1" s="367"/>
      <c r="D1" s="374" t="s">
        <v>165</v>
      </c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</row>
    <row r="2" spans="2:30" ht="18.75" outlineLevel="1" thickBot="1">
      <c r="B2" s="367"/>
      <c r="C2" s="367"/>
      <c r="D2" s="375" t="s">
        <v>117</v>
      </c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</row>
    <row r="3" spans="2:30" ht="13.5" customHeight="1" outlineLevel="1" thickBot="1">
      <c r="B3" s="367"/>
      <c r="C3" s="367"/>
      <c r="D3" s="263" t="s">
        <v>59</v>
      </c>
      <c r="E3" s="263"/>
      <c r="F3" s="263"/>
      <c r="G3" s="263"/>
      <c r="H3" s="263"/>
      <c r="I3" s="263"/>
      <c r="J3" s="263"/>
      <c r="K3" s="263"/>
      <c r="L3" s="263"/>
      <c r="M3" s="264"/>
      <c r="N3" s="161" t="s">
        <v>28</v>
      </c>
      <c r="O3" s="368" t="s">
        <v>60</v>
      </c>
      <c r="P3" s="368"/>
      <c r="Q3" s="368"/>
      <c r="R3" s="263"/>
      <c r="S3" s="263"/>
      <c r="T3" s="263"/>
      <c r="U3" s="263"/>
      <c r="V3" s="263"/>
      <c r="W3" s="263"/>
      <c r="X3" s="263"/>
      <c r="Y3" s="263"/>
      <c r="Z3" s="264"/>
      <c r="AA3" s="353"/>
      <c r="AB3" s="381" t="s">
        <v>118</v>
      </c>
      <c r="AC3" s="381"/>
      <c r="AD3" s="381"/>
    </row>
    <row r="4" spans="2:30" ht="16.5" outlineLevel="1" thickBot="1">
      <c r="B4" s="367"/>
      <c r="C4" s="367"/>
      <c r="D4" s="263" t="s">
        <v>120</v>
      </c>
      <c r="E4" s="263"/>
      <c r="F4" s="263"/>
      <c r="G4" s="263"/>
      <c r="H4" s="263"/>
      <c r="I4" s="263"/>
      <c r="J4" s="263"/>
      <c r="K4" s="263"/>
      <c r="L4" s="263"/>
      <c r="M4" s="266"/>
      <c r="N4" s="267" t="s">
        <v>27</v>
      </c>
      <c r="O4" s="268"/>
      <c r="P4" s="269"/>
      <c r="Q4" s="331" t="s">
        <v>27</v>
      </c>
      <c r="R4" s="263"/>
      <c r="S4" s="263"/>
      <c r="T4" s="263"/>
      <c r="U4" s="263"/>
      <c r="V4" s="263"/>
      <c r="W4" s="263"/>
      <c r="X4" s="263"/>
      <c r="Y4" s="263"/>
      <c r="Z4" s="266"/>
      <c r="AA4" s="354"/>
      <c r="AB4" s="271"/>
      <c r="AC4" s="272"/>
      <c r="AD4" s="273" t="s">
        <v>85</v>
      </c>
    </row>
    <row r="5" spans="2:30" ht="16.5" outlineLevel="1" thickBot="1">
      <c r="B5" s="367"/>
      <c r="C5" s="367"/>
      <c r="D5" s="384">
        <f>COUNT(O12:O66)</f>
        <v>0</v>
      </c>
      <c r="E5" s="332"/>
      <c r="F5" s="332"/>
      <c r="G5" s="332"/>
      <c r="H5" s="332"/>
      <c r="I5" s="332"/>
      <c r="J5" s="332"/>
      <c r="K5" s="332"/>
      <c r="L5" s="332"/>
      <c r="M5" s="360"/>
      <c r="N5" s="276" t="e">
        <f>+#REF!/$AB$5</f>
        <v>#REF!</v>
      </c>
      <c r="O5" s="361" t="s">
        <v>47</v>
      </c>
      <c r="P5" s="361"/>
      <c r="Q5" s="329" t="e">
        <f>SUM(#REF!)</f>
        <v>#REF!</v>
      </c>
      <c r="R5" s="332"/>
      <c r="S5" s="332"/>
      <c r="T5" s="332"/>
      <c r="U5" s="332"/>
      <c r="V5" s="332"/>
      <c r="W5" s="332"/>
      <c r="X5" s="332"/>
      <c r="Y5" s="332"/>
      <c r="Z5" s="360"/>
      <c r="AA5" s="355"/>
      <c r="AB5" s="376" t="e">
        <f>SUM(#REF!)</f>
        <v>#REF!</v>
      </c>
      <c r="AC5" s="376"/>
      <c r="AD5" s="377" t="e">
        <f>SUM(#REF!)</f>
        <v>#REF!</v>
      </c>
    </row>
    <row r="6" spans="2:30" ht="16.5" outlineLevel="1" thickBot="1">
      <c r="B6" s="367"/>
      <c r="C6" s="367"/>
      <c r="D6" s="384"/>
      <c r="E6" s="332"/>
      <c r="F6" s="332"/>
      <c r="G6" s="332"/>
      <c r="H6" s="332"/>
      <c r="I6" s="332"/>
      <c r="J6" s="332"/>
      <c r="K6" s="332"/>
      <c r="L6" s="332"/>
      <c r="M6" s="360"/>
      <c r="N6" s="276" t="e">
        <f>(AB5-#REF!)/$AB$5</f>
        <v>#REF!</v>
      </c>
      <c r="O6" s="372" t="s">
        <v>125</v>
      </c>
      <c r="P6" s="372"/>
      <c r="Q6" s="330" t="e">
        <f>+Q5+#REF!</f>
        <v>#REF!</v>
      </c>
      <c r="R6" s="332"/>
      <c r="S6" s="332"/>
      <c r="T6" s="332"/>
      <c r="U6" s="332"/>
      <c r="V6" s="332"/>
      <c r="W6" s="332"/>
      <c r="X6" s="332"/>
      <c r="Y6" s="332"/>
      <c r="Z6" s="360"/>
      <c r="AA6" s="356"/>
      <c r="AB6" s="373" t="e">
        <f>+AB5-AD5</f>
        <v>#REF!</v>
      </c>
      <c r="AC6" s="373"/>
      <c r="AD6" s="377"/>
    </row>
    <row r="7" spans="2:30" ht="16.5" outlineLevel="1" thickBot="1">
      <c r="B7" s="367"/>
      <c r="C7" s="367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</row>
    <row r="8" spans="2:30" ht="19.5" customHeight="1" thickBot="1">
      <c r="B8" s="367"/>
      <c r="C8" s="367"/>
      <c r="D8" s="370" t="s">
        <v>78</v>
      </c>
      <c r="E8" s="371"/>
      <c r="F8" s="371"/>
      <c r="G8" s="371"/>
      <c r="H8" s="371"/>
      <c r="I8" s="371"/>
      <c r="J8" s="371"/>
      <c r="K8" s="371"/>
      <c r="L8" s="371"/>
      <c r="M8" s="371"/>
      <c r="N8" s="370"/>
      <c r="O8" s="370"/>
      <c r="P8" s="370"/>
      <c r="Q8" s="370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0"/>
      <c r="AC8" s="370"/>
      <c r="AD8" s="370"/>
    </row>
    <row r="9" spans="2:30" ht="19.5" customHeight="1" thickBot="1">
      <c r="B9" s="362"/>
      <c r="C9" s="363" t="s">
        <v>79</v>
      </c>
      <c r="D9" s="364" t="s">
        <v>127</v>
      </c>
      <c r="E9" s="339"/>
      <c r="F9" s="340"/>
      <c r="G9" s="378" t="s">
        <v>60</v>
      </c>
      <c r="H9" s="378"/>
      <c r="I9" s="378"/>
      <c r="J9" s="378"/>
      <c r="K9" s="378"/>
      <c r="L9" s="378"/>
      <c r="M9" s="341"/>
      <c r="N9" s="365" t="s">
        <v>60</v>
      </c>
      <c r="O9" s="366"/>
      <c r="P9" s="366"/>
      <c r="Q9" s="366"/>
      <c r="R9" s="337"/>
      <c r="S9" s="338"/>
      <c r="T9" s="338"/>
      <c r="U9" s="379" t="s">
        <v>128</v>
      </c>
      <c r="V9" s="379"/>
      <c r="W9" s="379"/>
      <c r="X9" s="379"/>
      <c r="Y9" s="379"/>
      <c r="Z9" s="380"/>
      <c r="AA9" s="357"/>
      <c r="AB9" s="382" t="s">
        <v>128</v>
      </c>
      <c r="AC9" s="383"/>
      <c r="AD9" s="383"/>
    </row>
    <row r="10" spans="2:30" ht="19.5" customHeight="1" thickBot="1">
      <c r="B10" s="362"/>
      <c r="C10" s="363"/>
      <c r="D10" s="364"/>
      <c r="E10" s="342"/>
      <c r="F10" s="343" t="s">
        <v>176</v>
      </c>
      <c r="G10" s="343"/>
      <c r="H10" s="343"/>
      <c r="I10" s="343"/>
      <c r="J10" s="343"/>
      <c r="K10" s="343" t="s">
        <v>177</v>
      </c>
      <c r="L10" s="343"/>
      <c r="M10" s="344"/>
      <c r="N10" s="287" t="s">
        <v>81</v>
      </c>
      <c r="O10" s="287" t="s">
        <v>82</v>
      </c>
      <c r="P10" s="287" t="s">
        <v>83</v>
      </c>
      <c r="Q10" s="288" t="s">
        <v>77</v>
      </c>
      <c r="R10" s="334"/>
      <c r="S10" s="335" t="s">
        <v>176</v>
      </c>
      <c r="T10" s="335"/>
      <c r="U10" s="335"/>
      <c r="V10" s="335"/>
      <c r="W10" s="335"/>
      <c r="X10" s="335" t="s">
        <v>177</v>
      </c>
      <c r="Y10" s="335"/>
      <c r="Z10" s="336"/>
      <c r="AA10" s="333"/>
      <c r="AB10" s="292" t="s">
        <v>81</v>
      </c>
      <c r="AC10" s="292" t="s">
        <v>82</v>
      </c>
      <c r="AD10" s="292" t="s">
        <v>86</v>
      </c>
    </row>
    <row r="11" spans="2:30" s="298" customFormat="1" ht="14.25" customHeight="1" outlineLevel="1">
      <c r="B11" s="299"/>
      <c r="C11" s="300"/>
      <c r="D11" s="301"/>
      <c r="E11" s="300"/>
      <c r="F11" s="300"/>
      <c r="G11" s="300"/>
      <c r="H11" s="300"/>
      <c r="I11" s="300"/>
      <c r="J11" s="300"/>
      <c r="K11" s="300"/>
      <c r="L11" s="300"/>
      <c r="M11" s="300"/>
      <c r="N11" s="302"/>
      <c r="O11" s="303"/>
      <c r="P11" s="304"/>
      <c r="Q11" s="305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6"/>
      <c r="AC11" s="307"/>
      <c r="AD11" s="303"/>
    </row>
    <row r="12" spans="2:30" s="298" customFormat="1" ht="14.25" customHeight="1" outlineLevel="1">
      <c r="B12" s="311"/>
      <c r="C12" s="300"/>
      <c r="D12" s="300"/>
      <c r="E12" s="349" t="s">
        <v>174</v>
      </c>
      <c r="F12" s="349" t="s">
        <v>172</v>
      </c>
      <c r="G12" s="349" t="s">
        <v>168</v>
      </c>
      <c r="H12" s="349" t="s">
        <v>169</v>
      </c>
      <c r="I12" s="300"/>
      <c r="J12" s="350" t="s">
        <v>175</v>
      </c>
      <c r="K12" s="350" t="s">
        <v>173</v>
      </c>
      <c r="L12" s="350" t="s">
        <v>170</v>
      </c>
      <c r="M12" s="350" t="s">
        <v>171</v>
      </c>
      <c r="N12" s="300"/>
      <c r="O12" s="300"/>
      <c r="P12" s="312"/>
      <c r="Q12" s="311"/>
      <c r="R12" s="345" t="s">
        <v>174</v>
      </c>
      <c r="S12" s="345" t="s">
        <v>172</v>
      </c>
      <c r="T12" s="345" t="s">
        <v>168</v>
      </c>
      <c r="U12" s="345" t="s">
        <v>169</v>
      </c>
      <c r="V12" s="300"/>
      <c r="W12" s="346" t="s">
        <v>175</v>
      </c>
      <c r="X12" s="346" t="s">
        <v>173</v>
      </c>
      <c r="Y12" s="346" t="s">
        <v>170</v>
      </c>
      <c r="Z12" s="346" t="s">
        <v>171</v>
      </c>
      <c r="AA12" s="346"/>
      <c r="AB12" s="313"/>
      <c r="AC12" s="314"/>
      <c r="AD12" s="300"/>
    </row>
    <row r="13" spans="1:30" ht="15.75">
      <c r="A13" s="156"/>
      <c r="B13" s="316"/>
      <c r="C13" s="242">
        <v>1</v>
      </c>
      <c r="D13" s="317" t="s">
        <v>130</v>
      </c>
      <c r="E13" s="351">
        <v>2</v>
      </c>
      <c r="F13" s="351" t="s">
        <v>178</v>
      </c>
      <c r="G13" s="351" t="s">
        <v>178</v>
      </c>
      <c r="H13" s="351" t="s">
        <v>178</v>
      </c>
      <c r="I13" s="318"/>
      <c r="J13" s="352">
        <v>0.5</v>
      </c>
      <c r="K13" s="352" t="s">
        <v>178</v>
      </c>
      <c r="L13" s="352" t="s">
        <v>179</v>
      </c>
      <c r="M13" s="352" t="s">
        <v>178</v>
      </c>
      <c r="N13" s="320">
        <v>38730</v>
      </c>
      <c r="O13" s="219"/>
      <c r="P13" s="224">
        <v>241</v>
      </c>
      <c r="Q13" s="221"/>
      <c r="R13" s="347">
        <v>-3</v>
      </c>
      <c r="S13" s="347" t="s">
        <v>179</v>
      </c>
      <c r="T13" s="347" t="s">
        <v>179</v>
      </c>
      <c r="U13" s="347" t="s">
        <v>179</v>
      </c>
      <c r="V13" s="318"/>
      <c r="W13" s="348">
        <v>-3</v>
      </c>
      <c r="X13" s="348" t="s">
        <v>178</v>
      </c>
      <c r="Y13" s="348" t="s">
        <v>179</v>
      </c>
      <c r="Z13" s="348" t="s">
        <v>178</v>
      </c>
      <c r="AA13" s="358"/>
      <c r="AB13" s="320">
        <v>38856</v>
      </c>
      <c r="AC13" s="219"/>
      <c r="AD13" s="224">
        <v>247</v>
      </c>
    </row>
    <row r="14" spans="1:30" ht="15.75">
      <c r="A14" s="156"/>
      <c r="B14" s="316"/>
      <c r="C14" s="242">
        <v>1</v>
      </c>
      <c r="D14" s="317" t="s">
        <v>130</v>
      </c>
      <c r="E14" s="351">
        <v>2</v>
      </c>
      <c r="F14" s="351" t="s">
        <v>178</v>
      </c>
      <c r="G14" s="351" t="s">
        <v>178</v>
      </c>
      <c r="H14" s="351" t="s">
        <v>178</v>
      </c>
      <c r="I14" s="318"/>
      <c r="J14" s="352">
        <v>0.5</v>
      </c>
      <c r="K14" s="352" t="s">
        <v>178</v>
      </c>
      <c r="L14" s="352" t="s">
        <v>178</v>
      </c>
      <c r="M14" s="352" t="s">
        <v>178</v>
      </c>
      <c r="N14" s="218">
        <v>39003</v>
      </c>
      <c r="O14" s="219"/>
      <c r="P14" s="224">
        <v>264</v>
      </c>
      <c r="Q14" s="221"/>
      <c r="R14" s="347">
        <v>-3</v>
      </c>
      <c r="S14" s="347" t="s">
        <v>179</v>
      </c>
      <c r="T14" s="347" t="s">
        <v>179</v>
      </c>
      <c r="U14" s="347" t="s">
        <v>179</v>
      </c>
      <c r="V14" s="318"/>
      <c r="W14" s="348">
        <v>-1</v>
      </c>
      <c r="X14" s="348" t="s">
        <v>178</v>
      </c>
      <c r="Y14" s="348" t="s">
        <v>179</v>
      </c>
      <c r="Z14" s="348" t="s">
        <v>178</v>
      </c>
      <c r="AA14" s="359"/>
      <c r="AB14" s="218">
        <v>39399</v>
      </c>
      <c r="AC14" s="219"/>
      <c r="AD14" s="224">
        <v>385.3</v>
      </c>
    </row>
    <row r="15" spans="1:27" ht="15.75">
      <c r="A15" s="156"/>
      <c r="B15" s="316"/>
      <c r="C15" s="242">
        <v>1</v>
      </c>
      <c r="D15" s="317" t="s">
        <v>130</v>
      </c>
      <c r="E15" s="351"/>
      <c r="F15" s="351"/>
      <c r="G15" s="351"/>
      <c r="H15" s="351"/>
      <c r="I15" s="318"/>
      <c r="J15" s="352"/>
      <c r="K15" s="352"/>
      <c r="L15" s="352"/>
      <c r="M15" s="352"/>
      <c r="P15" s="224"/>
      <c r="R15" s="347"/>
      <c r="S15" s="347"/>
      <c r="T15" s="347"/>
      <c r="U15" s="347"/>
      <c r="V15" s="318"/>
      <c r="W15" s="348"/>
      <c r="X15" s="348"/>
      <c r="Y15" s="348"/>
      <c r="Z15" s="348"/>
      <c r="AA15" s="359"/>
    </row>
    <row r="16" spans="1:30" ht="15.75">
      <c r="A16" s="156"/>
      <c r="B16" s="316"/>
      <c r="C16" s="242">
        <v>2</v>
      </c>
      <c r="D16" s="317" t="s">
        <v>131</v>
      </c>
      <c r="E16" s="351">
        <v>2</v>
      </c>
      <c r="F16" s="351" t="s">
        <v>178</v>
      </c>
      <c r="G16" s="351" t="s">
        <v>178</v>
      </c>
      <c r="H16" s="351" t="s">
        <v>178</v>
      </c>
      <c r="I16" s="318"/>
      <c r="J16" s="352">
        <v>6</v>
      </c>
      <c r="K16" s="352" t="s">
        <v>178</v>
      </c>
      <c r="L16" s="352" t="s">
        <v>178</v>
      </c>
      <c r="M16" s="352" t="s">
        <v>178</v>
      </c>
      <c r="N16" s="320">
        <v>38723</v>
      </c>
      <c r="O16" s="219"/>
      <c r="P16" s="224">
        <v>439</v>
      </c>
      <c r="Q16" s="221"/>
      <c r="R16" s="347">
        <v>-5</v>
      </c>
      <c r="S16" s="347" t="s">
        <v>179</v>
      </c>
      <c r="T16" s="347" t="s">
        <v>179</v>
      </c>
      <c r="U16" s="347" t="s">
        <v>179</v>
      </c>
      <c r="V16" s="318"/>
      <c r="W16" s="348">
        <v>-1</v>
      </c>
      <c r="X16" s="348" t="s">
        <v>178</v>
      </c>
      <c r="Y16" s="348" t="s">
        <v>179</v>
      </c>
      <c r="Z16" s="348" t="s">
        <v>178</v>
      </c>
      <c r="AA16" s="358"/>
      <c r="AB16" s="320">
        <v>38835</v>
      </c>
      <c r="AC16" s="219"/>
      <c r="AD16" s="224">
        <v>471.9</v>
      </c>
    </row>
    <row r="17" spans="1:30" ht="15.75">
      <c r="A17" s="156"/>
      <c r="B17" s="316"/>
      <c r="C17" s="242">
        <v>2</v>
      </c>
      <c r="D17" s="317" t="s">
        <v>131</v>
      </c>
      <c r="E17" s="351">
        <v>6</v>
      </c>
      <c r="F17" s="351" t="s">
        <v>178</v>
      </c>
      <c r="G17" s="351" t="s">
        <v>178</v>
      </c>
      <c r="H17" s="351" t="s">
        <v>178</v>
      </c>
      <c r="I17" s="318"/>
      <c r="J17" s="352">
        <v>6</v>
      </c>
      <c r="K17" s="352" t="s">
        <v>178</v>
      </c>
      <c r="L17" s="352" t="s">
        <v>178</v>
      </c>
      <c r="M17" s="352" t="s">
        <v>179</v>
      </c>
      <c r="N17" s="320">
        <v>38996</v>
      </c>
      <c r="O17" s="219"/>
      <c r="P17" s="224">
        <v>498</v>
      </c>
      <c r="Q17" s="221"/>
      <c r="R17" s="347">
        <v>-5</v>
      </c>
      <c r="S17" s="347" t="s">
        <v>179</v>
      </c>
      <c r="T17" s="347" t="s">
        <v>179</v>
      </c>
      <c r="U17" s="347" t="s">
        <v>179</v>
      </c>
      <c r="V17" s="318"/>
      <c r="W17" s="348">
        <v>-3</v>
      </c>
      <c r="X17" s="348" t="s">
        <v>178</v>
      </c>
      <c r="Y17" s="348" t="s">
        <v>179</v>
      </c>
      <c r="Z17" s="348" t="s">
        <v>178</v>
      </c>
      <c r="AA17" s="358"/>
      <c r="AB17" s="320">
        <v>39157</v>
      </c>
      <c r="AC17" s="219"/>
      <c r="AD17" s="224">
        <v>487.3</v>
      </c>
    </row>
    <row r="18" spans="1:27" ht="15.75">
      <c r="A18" s="156"/>
      <c r="B18" s="316"/>
      <c r="C18" s="242">
        <v>2</v>
      </c>
      <c r="D18" s="317" t="s">
        <v>131</v>
      </c>
      <c r="E18" s="351"/>
      <c r="F18" s="351"/>
      <c r="G18" s="351"/>
      <c r="H18" s="351"/>
      <c r="I18" s="318"/>
      <c r="J18" s="352"/>
      <c r="K18" s="352"/>
      <c r="L18" s="352"/>
      <c r="M18" s="352"/>
      <c r="P18" s="224"/>
      <c r="R18" s="347"/>
      <c r="S18" s="347"/>
      <c r="T18" s="347"/>
      <c r="U18" s="347"/>
      <c r="V18" s="318"/>
      <c r="W18" s="348"/>
      <c r="X18" s="348"/>
      <c r="Y18" s="348"/>
      <c r="Z18" s="348"/>
      <c r="AA18" s="359"/>
    </row>
    <row r="19" spans="1:30" ht="15.75">
      <c r="A19" s="156"/>
      <c r="B19" s="316"/>
      <c r="C19" s="242">
        <v>3</v>
      </c>
      <c r="D19" s="317" t="s">
        <v>132</v>
      </c>
      <c r="E19" s="351">
        <v>6</v>
      </c>
      <c r="F19" s="351" t="s">
        <v>178</v>
      </c>
      <c r="G19" s="351" t="s">
        <v>178</v>
      </c>
      <c r="H19" s="351" t="s">
        <v>178</v>
      </c>
      <c r="I19" s="318"/>
      <c r="J19" s="352">
        <v>6</v>
      </c>
      <c r="K19" s="352" t="s">
        <v>178</v>
      </c>
      <c r="L19" s="352" t="s">
        <v>178</v>
      </c>
      <c r="M19" s="352" t="s">
        <v>178</v>
      </c>
      <c r="N19" s="320">
        <v>38723</v>
      </c>
      <c r="O19" s="219"/>
      <c r="P19" s="224">
        <v>415.9</v>
      </c>
      <c r="Q19" s="221"/>
      <c r="R19" s="347">
        <v>-3</v>
      </c>
      <c r="S19" s="347" t="s">
        <v>179</v>
      </c>
      <c r="T19" s="347" t="s">
        <v>179</v>
      </c>
      <c r="U19" s="347" t="s">
        <v>179</v>
      </c>
      <c r="V19" s="318"/>
      <c r="W19" s="348">
        <v>-3</v>
      </c>
      <c r="X19" s="348" t="s">
        <v>178</v>
      </c>
      <c r="Y19" s="348" t="s">
        <v>179</v>
      </c>
      <c r="Z19" s="348" t="s">
        <v>178</v>
      </c>
      <c r="AA19" s="358"/>
      <c r="AB19" s="320">
        <v>42523</v>
      </c>
      <c r="AC19" s="219"/>
      <c r="AD19" s="224">
        <v>476.3</v>
      </c>
    </row>
    <row r="20" spans="1:30" ht="15.75">
      <c r="A20" s="156"/>
      <c r="B20" s="316"/>
      <c r="C20" s="242">
        <v>3</v>
      </c>
      <c r="D20" s="317" t="s">
        <v>132</v>
      </c>
      <c r="E20" s="351">
        <v>6</v>
      </c>
      <c r="F20" s="351" t="s">
        <v>178</v>
      </c>
      <c r="G20" s="351" t="s">
        <v>178</v>
      </c>
      <c r="H20" s="351" t="s">
        <v>178</v>
      </c>
      <c r="I20" s="318"/>
      <c r="J20" s="352">
        <v>4</v>
      </c>
      <c r="K20" s="352" t="s">
        <v>178</v>
      </c>
      <c r="L20" s="352" t="s">
        <v>179</v>
      </c>
      <c r="M20" s="352" t="s">
        <v>178</v>
      </c>
      <c r="N20" s="320">
        <v>39017</v>
      </c>
      <c r="O20" s="219"/>
      <c r="P20" s="224">
        <v>544</v>
      </c>
      <c r="Q20" s="221"/>
      <c r="R20" s="347">
        <v>-3</v>
      </c>
      <c r="S20" s="347" t="s">
        <v>179</v>
      </c>
      <c r="T20" s="347" t="s">
        <v>179</v>
      </c>
      <c r="U20" s="347" t="s">
        <v>179</v>
      </c>
      <c r="V20" s="318"/>
      <c r="W20" s="348">
        <v>6</v>
      </c>
      <c r="X20" s="348" t="s">
        <v>178</v>
      </c>
      <c r="Y20" s="348" t="s">
        <v>179</v>
      </c>
      <c r="Z20" s="348" t="s">
        <v>179</v>
      </c>
      <c r="AA20" s="358"/>
      <c r="AB20" s="320">
        <v>39297</v>
      </c>
      <c r="AC20" s="219"/>
      <c r="AD20" s="224">
        <v>653.8</v>
      </c>
    </row>
    <row r="21" spans="1:30" ht="15.75">
      <c r="A21" s="156"/>
      <c r="B21" s="316"/>
      <c r="C21" s="242">
        <v>3</v>
      </c>
      <c r="D21" s="317" t="s">
        <v>132</v>
      </c>
      <c r="E21" s="351"/>
      <c r="F21" s="351"/>
      <c r="G21" s="351"/>
      <c r="H21" s="351"/>
      <c r="I21" s="318"/>
      <c r="J21" s="352"/>
      <c r="K21" s="352"/>
      <c r="L21" s="352"/>
      <c r="M21" s="352"/>
      <c r="N21" s="320"/>
      <c r="O21" s="219"/>
      <c r="P21" s="224"/>
      <c r="Q21" s="221"/>
      <c r="R21" s="347"/>
      <c r="S21" s="347"/>
      <c r="T21" s="347"/>
      <c r="U21" s="347"/>
      <c r="V21" s="318"/>
      <c r="W21" s="348"/>
      <c r="X21" s="348"/>
      <c r="Y21" s="348"/>
      <c r="Z21" s="348"/>
      <c r="AA21" s="358"/>
      <c r="AB21" s="320"/>
      <c r="AC21" s="219"/>
      <c r="AD21" s="224"/>
    </row>
    <row r="22" spans="1:30" ht="15.75">
      <c r="A22" s="156"/>
      <c r="B22" s="316"/>
      <c r="C22" s="242">
        <v>4</v>
      </c>
      <c r="D22" s="317" t="s">
        <v>133</v>
      </c>
      <c r="E22" s="351">
        <v>6</v>
      </c>
      <c r="F22" s="351" t="s">
        <v>178</v>
      </c>
      <c r="G22" s="351" t="s">
        <v>178</v>
      </c>
      <c r="H22" s="351" t="s">
        <v>178</v>
      </c>
      <c r="I22" s="318"/>
      <c r="J22" s="352">
        <v>6</v>
      </c>
      <c r="K22" s="352" t="s">
        <v>178</v>
      </c>
      <c r="L22" s="352" t="s">
        <v>178</v>
      </c>
      <c r="M22" s="352" t="s">
        <v>178</v>
      </c>
      <c r="N22" s="320">
        <v>38723</v>
      </c>
      <c r="O22" s="219"/>
      <c r="P22" s="224">
        <v>341.3</v>
      </c>
      <c r="Q22" s="221"/>
      <c r="R22" s="347">
        <v>-1</v>
      </c>
      <c r="S22" s="347" t="s">
        <v>179</v>
      </c>
      <c r="T22" s="347" t="s">
        <v>179</v>
      </c>
      <c r="U22" s="347" t="s">
        <v>179</v>
      </c>
      <c r="V22" s="318"/>
      <c r="W22" s="348">
        <v>-1</v>
      </c>
      <c r="X22" s="348" t="s">
        <v>178</v>
      </c>
      <c r="Y22" s="348" t="s">
        <v>179</v>
      </c>
      <c r="Z22" s="348" t="s">
        <v>178</v>
      </c>
      <c r="AA22" s="358"/>
      <c r="AB22" s="320">
        <v>38870</v>
      </c>
      <c r="AC22" s="219"/>
      <c r="AD22" s="224">
        <v>343.6</v>
      </c>
    </row>
    <row r="23" spans="1:30" ht="15.75">
      <c r="A23" s="156"/>
      <c r="B23" s="316"/>
      <c r="C23" s="242">
        <v>4</v>
      </c>
      <c r="D23" s="317" t="s">
        <v>133</v>
      </c>
      <c r="E23" s="351">
        <v>6</v>
      </c>
      <c r="F23" s="351" t="s">
        <v>178</v>
      </c>
      <c r="G23" s="351" t="s">
        <v>178</v>
      </c>
      <c r="H23" s="351" t="s">
        <v>178</v>
      </c>
      <c r="I23" s="318"/>
      <c r="J23" s="352">
        <v>4</v>
      </c>
      <c r="K23" s="352" t="s">
        <v>178</v>
      </c>
      <c r="L23" s="352" t="s">
        <v>178</v>
      </c>
      <c r="M23" s="352" t="s">
        <v>179</v>
      </c>
      <c r="N23" s="320">
        <v>38954</v>
      </c>
      <c r="O23" s="219"/>
      <c r="P23" s="224">
        <v>358.5</v>
      </c>
      <c r="Q23" s="221"/>
      <c r="R23" s="347">
        <v>-1</v>
      </c>
      <c r="S23" s="347" t="s">
        <v>179</v>
      </c>
      <c r="T23" s="347" t="s">
        <v>179</v>
      </c>
      <c r="U23" s="347" t="s">
        <v>179</v>
      </c>
      <c r="V23" s="318"/>
      <c r="W23" s="348">
        <v>-1</v>
      </c>
      <c r="X23" s="348" t="s">
        <v>178</v>
      </c>
      <c r="Y23" s="348" t="s">
        <v>179</v>
      </c>
      <c r="Z23" s="348" t="s">
        <v>178</v>
      </c>
      <c r="AA23" s="358" t="s">
        <v>180</v>
      </c>
      <c r="AB23" s="320">
        <v>39633</v>
      </c>
      <c r="AC23" s="219"/>
      <c r="AD23" s="224">
        <v>473</v>
      </c>
    </row>
    <row r="24" spans="1:30" ht="15.75">
      <c r="A24" s="156"/>
      <c r="B24" s="316"/>
      <c r="C24" s="242">
        <v>4</v>
      </c>
      <c r="D24" s="317" t="s">
        <v>133</v>
      </c>
      <c r="E24" s="351"/>
      <c r="F24" s="351"/>
      <c r="G24" s="351"/>
      <c r="H24" s="351"/>
      <c r="I24" s="318"/>
      <c r="J24" s="352"/>
      <c r="K24" s="352"/>
      <c r="L24" s="352"/>
      <c r="M24" s="352"/>
      <c r="P24" s="224"/>
      <c r="Q24" s="221"/>
      <c r="R24" s="347"/>
      <c r="S24" s="347"/>
      <c r="T24" s="347"/>
      <c r="U24" s="347"/>
      <c r="V24" s="318"/>
      <c r="W24" s="348"/>
      <c r="X24" s="348"/>
      <c r="Y24" s="348"/>
      <c r="Z24" s="348"/>
      <c r="AA24" s="358"/>
      <c r="AB24" s="320"/>
      <c r="AC24" s="219"/>
      <c r="AD24" s="224"/>
    </row>
    <row r="25" spans="1:30" ht="15.75">
      <c r="A25" s="156"/>
      <c r="B25" s="316"/>
      <c r="C25" s="242">
        <v>5</v>
      </c>
      <c r="D25" s="317" t="s">
        <v>134</v>
      </c>
      <c r="E25" s="351">
        <v>6</v>
      </c>
      <c r="F25" s="351" t="s">
        <v>178</v>
      </c>
      <c r="G25" s="351" t="s">
        <v>178</v>
      </c>
      <c r="H25" s="351" t="s">
        <v>178</v>
      </c>
      <c r="I25" s="318"/>
      <c r="J25" s="352">
        <v>4</v>
      </c>
      <c r="K25" s="352" t="s">
        <v>178</v>
      </c>
      <c r="L25" s="352" t="s">
        <v>178</v>
      </c>
      <c r="M25" s="352" t="s">
        <v>178</v>
      </c>
      <c r="N25" s="320">
        <v>38723</v>
      </c>
      <c r="O25" s="219"/>
      <c r="P25" s="224">
        <v>295.4</v>
      </c>
      <c r="Q25" s="221"/>
      <c r="R25" s="347">
        <v>-3</v>
      </c>
      <c r="S25" s="347" t="s">
        <v>179</v>
      </c>
      <c r="T25" s="347" t="s">
        <v>179</v>
      </c>
      <c r="U25" s="347" t="s">
        <v>179</v>
      </c>
      <c r="V25" s="318"/>
      <c r="W25" s="348">
        <v>-1</v>
      </c>
      <c r="X25" s="348" t="s">
        <v>178</v>
      </c>
      <c r="Y25" s="348" t="s">
        <v>179</v>
      </c>
      <c r="Z25" s="348" t="s">
        <v>178</v>
      </c>
      <c r="AA25" s="358"/>
      <c r="AB25" s="320">
        <v>38898</v>
      </c>
      <c r="AC25" s="219"/>
      <c r="AD25" s="224">
        <v>324</v>
      </c>
    </row>
    <row r="26" spans="1:30" ht="15.75">
      <c r="A26" s="156"/>
      <c r="B26" s="316"/>
      <c r="C26" s="242">
        <v>5</v>
      </c>
      <c r="D26" s="317" t="s">
        <v>134</v>
      </c>
      <c r="E26" s="351">
        <v>6</v>
      </c>
      <c r="F26" s="351" t="s">
        <v>178</v>
      </c>
      <c r="G26" s="351" t="s">
        <v>178</v>
      </c>
      <c r="H26" s="351" t="s">
        <v>178</v>
      </c>
      <c r="I26" s="318"/>
      <c r="J26" s="352">
        <v>4</v>
      </c>
      <c r="K26" s="352" t="s">
        <v>178</v>
      </c>
      <c r="L26" s="352" t="s">
        <v>178</v>
      </c>
      <c r="M26" s="352" t="s">
        <v>179</v>
      </c>
      <c r="N26" s="320">
        <v>38996</v>
      </c>
      <c r="O26" s="219"/>
      <c r="P26" s="224">
        <v>353</v>
      </c>
      <c r="Q26" s="221"/>
      <c r="R26" s="347">
        <v>-3</v>
      </c>
      <c r="S26" s="347" t="s">
        <v>179</v>
      </c>
      <c r="T26" s="347" t="s">
        <v>179</v>
      </c>
      <c r="U26" s="347" t="s">
        <v>179</v>
      </c>
      <c r="V26" s="318"/>
      <c r="W26" s="348">
        <v>4</v>
      </c>
      <c r="X26" s="348" t="s">
        <v>178</v>
      </c>
      <c r="Y26" s="348" t="s">
        <v>179</v>
      </c>
      <c r="Z26" s="348" t="s">
        <v>178</v>
      </c>
      <c r="AA26" s="358"/>
      <c r="AB26" s="320">
        <v>39290</v>
      </c>
      <c r="AC26" s="219"/>
      <c r="AD26" s="224">
        <v>435.7</v>
      </c>
    </row>
    <row r="27" spans="1:30" ht="15.75">
      <c r="A27" s="156"/>
      <c r="B27" s="316"/>
      <c r="C27" s="242">
        <v>5</v>
      </c>
      <c r="D27" s="317" t="s">
        <v>134</v>
      </c>
      <c r="E27" s="351"/>
      <c r="F27" s="351"/>
      <c r="G27" s="351"/>
      <c r="H27" s="351"/>
      <c r="I27" s="318"/>
      <c r="J27" s="352"/>
      <c r="K27" s="352"/>
      <c r="L27" s="352"/>
      <c r="M27" s="352"/>
      <c r="N27" s="320"/>
      <c r="O27" s="219"/>
      <c r="P27" s="224"/>
      <c r="Q27" s="221"/>
      <c r="R27" s="347"/>
      <c r="S27" s="347"/>
      <c r="T27" s="347"/>
      <c r="U27" s="347"/>
      <c r="V27" s="318"/>
      <c r="W27" s="348"/>
      <c r="X27" s="348"/>
      <c r="Y27" s="348"/>
      <c r="Z27" s="348"/>
      <c r="AA27" s="358"/>
      <c r="AB27" s="320"/>
      <c r="AC27" s="219"/>
      <c r="AD27" s="224"/>
    </row>
    <row r="28" spans="1:30" ht="15.75">
      <c r="A28" s="156"/>
      <c r="B28" s="316"/>
      <c r="C28" s="242">
        <v>6</v>
      </c>
      <c r="D28" s="317" t="s">
        <v>135</v>
      </c>
      <c r="E28" s="351">
        <v>6</v>
      </c>
      <c r="F28" s="351" t="s">
        <v>178</v>
      </c>
      <c r="G28" s="351" t="s">
        <v>178</v>
      </c>
      <c r="H28" s="351" t="s">
        <v>178</v>
      </c>
      <c r="I28" s="318"/>
      <c r="J28" s="352">
        <v>6</v>
      </c>
      <c r="K28" s="352" t="s">
        <v>178</v>
      </c>
      <c r="L28" s="352" t="s">
        <v>178</v>
      </c>
      <c r="M28" s="352" t="s">
        <v>179</v>
      </c>
      <c r="N28" s="320">
        <v>38933</v>
      </c>
      <c r="O28" s="219"/>
      <c r="P28" s="224">
        <v>272.6</v>
      </c>
      <c r="Q28" s="221"/>
      <c r="R28" s="347">
        <v>-3</v>
      </c>
      <c r="S28" s="347" t="s">
        <v>179</v>
      </c>
      <c r="T28" s="347" t="s">
        <v>179</v>
      </c>
      <c r="U28" s="347" t="s">
        <v>179</v>
      </c>
      <c r="V28" s="318"/>
      <c r="W28" s="348">
        <v>-3</v>
      </c>
      <c r="X28" s="348" t="s">
        <v>178</v>
      </c>
      <c r="Y28" s="348" t="s">
        <v>179</v>
      </c>
      <c r="Z28" s="348" t="s">
        <v>178</v>
      </c>
      <c r="AA28" s="358"/>
      <c r="AB28" s="320">
        <v>39245</v>
      </c>
      <c r="AC28" s="219"/>
      <c r="AD28" s="224">
        <v>322.74</v>
      </c>
    </row>
    <row r="29" spans="1:30" ht="15.75">
      <c r="A29" s="156"/>
      <c r="B29" s="316"/>
      <c r="C29" s="242">
        <v>6</v>
      </c>
      <c r="D29" s="317" t="s">
        <v>135</v>
      </c>
      <c r="E29" s="351">
        <v>6</v>
      </c>
      <c r="F29" s="351" t="s">
        <v>178</v>
      </c>
      <c r="G29" s="351" t="s">
        <v>178</v>
      </c>
      <c r="H29" s="351" t="s">
        <v>178</v>
      </c>
      <c r="I29" s="318"/>
      <c r="J29" s="352">
        <v>6</v>
      </c>
      <c r="K29" s="352" t="s">
        <v>178</v>
      </c>
      <c r="L29" s="352" t="s">
        <v>178</v>
      </c>
      <c r="M29" s="352" t="s">
        <v>179</v>
      </c>
      <c r="N29" s="320">
        <v>39381</v>
      </c>
      <c r="O29" s="219"/>
      <c r="P29" s="224">
        <v>332.7</v>
      </c>
      <c r="Q29" s="221"/>
      <c r="R29" s="347">
        <v>-1</v>
      </c>
      <c r="S29" s="347" t="s">
        <v>179</v>
      </c>
      <c r="T29" s="347" t="s">
        <v>179</v>
      </c>
      <c r="U29" s="347" t="s">
        <v>179</v>
      </c>
      <c r="V29" s="318"/>
      <c r="W29" s="348">
        <v>6</v>
      </c>
      <c r="X29" s="348" t="s">
        <v>179</v>
      </c>
      <c r="Y29" s="348" t="s">
        <v>179</v>
      </c>
      <c r="Z29" s="348" t="s">
        <v>179</v>
      </c>
      <c r="AA29" s="358"/>
      <c r="AB29" s="320">
        <v>39444</v>
      </c>
      <c r="AC29" s="219"/>
      <c r="AD29" s="224">
        <v>330</v>
      </c>
    </row>
    <row r="30" spans="1:30" ht="15.75">
      <c r="A30" s="156"/>
      <c r="B30" s="316"/>
      <c r="C30" s="242">
        <v>6</v>
      </c>
      <c r="D30" s="317" t="s">
        <v>135</v>
      </c>
      <c r="E30" s="351"/>
      <c r="F30" s="351"/>
      <c r="G30" s="351"/>
      <c r="H30" s="351"/>
      <c r="I30" s="318"/>
      <c r="J30" s="352"/>
      <c r="K30" s="352"/>
      <c r="L30" s="352"/>
      <c r="M30" s="352"/>
      <c r="N30" s="320"/>
      <c r="O30" s="219"/>
      <c r="P30" s="224"/>
      <c r="Q30" s="221"/>
      <c r="R30" s="347"/>
      <c r="S30" s="347"/>
      <c r="T30" s="347"/>
      <c r="U30" s="347"/>
      <c r="V30" s="318"/>
      <c r="W30" s="348"/>
      <c r="X30" s="348"/>
      <c r="Y30" s="348"/>
      <c r="Z30" s="348"/>
      <c r="AA30" s="358"/>
      <c r="AB30" s="320"/>
      <c r="AC30" s="219"/>
      <c r="AD30" s="224"/>
    </row>
    <row r="31" spans="1:30" ht="15.75">
      <c r="A31" s="156"/>
      <c r="B31" s="316"/>
      <c r="C31" s="242">
        <v>6</v>
      </c>
      <c r="D31" s="317" t="s">
        <v>135</v>
      </c>
      <c r="E31" s="351"/>
      <c r="F31" s="351"/>
      <c r="G31" s="351"/>
      <c r="H31" s="351"/>
      <c r="I31" s="318"/>
      <c r="J31" s="352"/>
      <c r="K31" s="352"/>
      <c r="L31" s="352"/>
      <c r="M31" s="352"/>
      <c r="N31" s="320"/>
      <c r="O31" s="219"/>
      <c r="P31" s="224"/>
      <c r="Q31" s="221"/>
      <c r="R31" s="347"/>
      <c r="S31" s="347"/>
      <c r="T31" s="347"/>
      <c r="U31" s="347"/>
      <c r="V31" s="318"/>
      <c r="W31" s="348"/>
      <c r="X31" s="348"/>
      <c r="Y31" s="348"/>
      <c r="Z31" s="348"/>
      <c r="AA31" s="358"/>
      <c r="AB31" s="320"/>
      <c r="AC31" s="219"/>
      <c r="AD31" s="224"/>
    </row>
    <row r="32" spans="1:30" ht="15.75">
      <c r="A32" s="156"/>
      <c r="B32" s="316"/>
      <c r="C32" s="242">
        <v>7</v>
      </c>
      <c r="D32" s="317" t="s">
        <v>136</v>
      </c>
      <c r="E32" s="351">
        <v>6</v>
      </c>
      <c r="F32" s="351" t="s">
        <v>178</v>
      </c>
      <c r="G32" s="351" t="s">
        <v>178</v>
      </c>
      <c r="H32" s="351" t="s">
        <v>178</v>
      </c>
      <c r="I32" s="318"/>
      <c r="J32" s="352">
        <v>6</v>
      </c>
      <c r="K32" s="352" t="s">
        <v>178</v>
      </c>
      <c r="L32" s="352" t="s">
        <v>178</v>
      </c>
      <c r="M32" s="352" t="s">
        <v>179</v>
      </c>
      <c r="N32" s="320">
        <v>38723</v>
      </c>
      <c r="O32" s="219"/>
      <c r="P32" s="224">
        <v>333.3</v>
      </c>
      <c r="Q32" s="221"/>
      <c r="R32" s="347">
        <v>-3</v>
      </c>
      <c r="S32" s="347" t="s">
        <v>179</v>
      </c>
      <c r="T32" s="347" t="s">
        <v>179</v>
      </c>
      <c r="U32" s="347" t="s">
        <v>179</v>
      </c>
      <c r="V32" s="318"/>
      <c r="W32" s="348">
        <v>6</v>
      </c>
      <c r="X32" s="348" t="s">
        <v>178</v>
      </c>
      <c r="Y32" s="348" t="s">
        <v>178</v>
      </c>
      <c r="Z32" s="348" t="s">
        <v>181</v>
      </c>
      <c r="AA32" s="358" t="s">
        <v>180</v>
      </c>
      <c r="AB32" s="320">
        <v>39143</v>
      </c>
      <c r="AC32" s="219"/>
      <c r="AD32" s="224">
        <v>467.6</v>
      </c>
    </row>
    <row r="33" spans="1:30" ht="15.75">
      <c r="A33" s="156"/>
      <c r="B33" s="316"/>
      <c r="C33" s="242">
        <v>7</v>
      </c>
      <c r="D33" s="317" t="s">
        <v>136</v>
      </c>
      <c r="E33" s="351"/>
      <c r="F33" s="351"/>
      <c r="G33" s="351"/>
      <c r="H33" s="351"/>
      <c r="I33" s="318"/>
      <c r="J33" s="352"/>
      <c r="K33" s="352"/>
      <c r="L33" s="352"/>
      <c r="M33" s="352"/>
      <c r="N33" s="320"/>
      <c r="O33" s="219"/>
      <c r="P33" s="224"/>
      <c r="Q33" s="221"/>
      <c r="R33" s="347"/>
      <c r="S33" s="347"/>
      <c r="T33" s="347"/>
      <c r="U33" s="347"/>
      <c r="V33" s="318"/>
      <c r="W33" s="348"/>
      <c r="X33" s="348"/>
      <c r="Y33" s="348"/>
      <c r="Z33" s="348"/>
      <c r="AA33" s="358"/>
      <c r="AB33" s="320"/>
      <c r="AC33" s="219"/>
      <c r="AD33" s="224"/>
    </row>
    <row r="34" spans="1:30" ht="15.75">
      <c r="A34" s="156"/>
      <c r="B34" s="316"/>
      <c r="C34" s="242">
        <v>7</v>
      </c>
      <c r="D34" s="317" t="s">
        <v>136</v>
      </c>
      <c r="E34" s="351"/>
      <c r="F34" s="351"/>
      <c r="G34" s="351"/>
      <c r="H34" s="351"/>
      <c r="I34" s="318"/>
      <c r="J34" s="352"/>
      <c r="K34" s="352"/>
      <c r="L34" s="352"/>
      <c r="M34" s="352"/>
      <c r="N34" s="320"/>
      <c r="O34" s="219"/>
      <c r="P34" s="224"/>
      <c r="Q34" s="221"/>
      <c r="R34" s="347"/>
      <c r="S34" s="347"/>
      <c r="T34" s="347"/>
      <c r="U34" s="347"/>
      <c r="V34" s="318"/>
      <c r="W34" s="348"/>
      <c r="X34" s="348"/>
      <c r="Y34" s="348"/>
      <c r="Z34" s="348"/>
      <c r="AA34" s="358"/>
      <c r="AB34" s="320"/>
      <c r="AC34" s="219"/>
      <c r="AD34" s="224"/>
    </row>
    <row r="35" spans="1:30" ht="15.75">
      <c r="A35" s="156"/>
      <c r="B35" s="316"/>
      <c r="C35" s="242">
        <v>7</v>
      </c>
      <c r="D35" s="317" t="s">
        <v>136</v>
      </c>
      <c r="E35" s="351"/>
      <c r="F35" s="351"/>
      <c r="G35" s="351"/>
      <c r="H35" s="351"/>
      <c r="I35" s="318"/>
      <c r="J35" s="352"/>
      <c r="K35" s="352"/>
      <c r="L35" s="352"/>
      <c r="M35" s="352"/>
      <c r="N35" s="320"/>
      <c r="O35" s="219"/>
      <c r="P35" s="224"/>
      <c r="Q35" s="221"/>
      <c r="R35" s="347"/>
      <c r="S35" s="347"/>
      <c r="T35" s="347"/>
      <c r="U35" s="347"/>
      <c r="V35" s="318"/>
      <c r="W35" s="348"/>
      <c r="X35" s="348"/>
      <c r="Y35" s="348"/>
      <c r="Z35" s="348"/>
      <c r="AA35" s="358"/>
      <c r="AB35" s="320"/>
      <c r="AC35" s="219"/>
      <c r="AD35" s="224"/>
    </row>
    <row r="36" spans="1:30" ht="15.75">
      <c r="A36" s="156"/>
      <c r="B36" s="316"/>
      <c r="C36" s="242">
        <v>8</v>
      </c>
      <c r="D36" s="317" t="s">
        <v>137</v>
      </c>
      <c r="E36" s="351">
        <v>6</v>
      </c>
      <c r="F36" s="351" t="s">
        <v>178</v>
      </c>
      <c r="G36" s="351" t="s">
        <v>178</v>
      </c>
      <c r="H36" s="351" t="s">
        <v>178</v>
      </c>
      <c r="I36" s="318"/>
      <c r="J36" s="352">
        <v>6</v>
      </c>
      <c r="K36" s="352" t="s">
        <v>178</v>
      </c>
      <c r="L36" s="352" t="s">
        <v>178</v>
      </c>
      <c r="M36" s="352" t="s">
        <v>178</v>
      </c>
      <c r="N36" s="320">
        <v>38926</v>
      </c>
      <c r="O36" s="219"/>
      <c r="P36" s="224">
        <v>455.8</v>
      </c>
      <c r="Q36" s="221"/>
      <c r="R36" s="347">
        <v>-3</v>
      </c>
      <c r="S36" s="347" t="s">
        <v>179</v>
      </c>
      <c r="T36" s="347" t="s">
        <v>179</v>
      </c>
      <c r="U36" s="347" t="s">
        <v>179</v>
      </c>
      <c r="V36" s="318"/>
      <c r="W36" s="348">
        <v>-5</v>
      </c>
      <c r="X36" s="348" t="s">
        <v>179</v>
      </c>
      <c r="Y36" s="348" t="s">
        <v>179</v>
      </c>
      <c r="Z36" s="348" t="s">
        <v>178</v>
      </c>
      <c r="AA36" s="358"/>
      <c r="AB36" s="320">
        <v>39045</v>
      </c>
      <c r="AC36" s="219"/>
      <c r="AD36" s="224">
        <v>444</v>
      </c>
    </row>
    <row r="37" spans="1:30" ht="15.75">
      <c r="A37" s="156"/>
      <c r="B37" s="316"/>
      <c r="C37" s="242">
        <v>8</v>
      </c>
      <c r="D37" s="317" t="s">
        <v>137</v>
      </c>
      <c r="E37" s="351">
        <v>6</v>
      </c>
      <c r="F37" s="351" t="s">
        <v>178</v>
      </c>
      <c r="G37" s="351" t="s">
        <v>178</v>
      </c>
      <c r="H37" s="351" t="s">
        <v>178</v>
      </c>
      <c r="I37" s="318"/>
      <c r="J37" s="352">
        <v>6</v>
      </c>
      <c r="K37" s="352" t="s">
        <v>178</v>
      </c>
      <c r="L37" s="352" t="s">
        <v>178</v>
      </c>
      <c r="M37" s="352" t="s">
        <v>179</v>
      </c>
      <c r="N37" s="320">
        <v>39675</v>
      </c>
      <c r="O37" s="219"/>
      <c r="P37" s="224">
        <v>371.7</v>
      </c>
      <c r="Q37" s="221"/>
      <c r="R37" s="347">
        <v>-3</v>
      </c>
      <c r="S37" s="347" t="s">
        <v>179</v>
      </c>
      <c r="T37" s="347" t="s">
        <v>179</v>
      </c>
      <c r="U37" s="347" t="s">
        <v>179</v>
      </c>
      <c r="V37" s="318"/>
      <c r="W37" s="348">
        <v>6</v>
      </c>
      <c r="X37" s="348" t="s">
        <v>179</v>
      </c>
      <c r="Y37" s="348" t="s">
        <v>179</v>
      </c>
      <c r="Z37" s="348" t="s">
        <v>178</v>
      </c>
      <c r="AA37" s="358"/>
      <c r="AB37" s="320">
        <v>39787</v>
      </c>
      <c r="AC37" s="219"/>
      <c r="AD37" s="224">
        <v>324.3</v>
      </c>
    </row>
    <row r="38" spans="1:30" ht="15.75">
      <c r="A38" s="156"/>
      <c r="B38" s="316"/>
      <c r="C38" s="242">
        <v>8</v>
      </c>
      <c r="D38" s="317" t="s">
        <v>137</v>
      </c>
      <c r="E38" s="351"/>
      <c r="F38" s="351"/>
      <c r="G38" s="351"/>
      <c r="H38" s="351"/>
      <c r="I38" s="318"/>
      <c r="J38" s="352"/>
      <c r="K38" s="352"/>
      <c r="L38" s="352"/>
      <c r="M38" s="352"/>
      <c r="N38" s="320"/>
      <c r="O38" s="219"/>
      <c r="P38" s="224"/>
      <c r="Q38" s="221"/>
      <c r="R38" s="347"/>
      <c r="S38" s="347"/>
      <c r="T38" s="347"/>
      <c r="U38" s="347"/>
      <c r="V38" s="318"/>
      <c r="W38" s="348"/>
      <c r="X38" s="348"/>
      <c r="Y38" s="348"/>
      <c r="Z38" s="348"/>
      <c r="AA38" s="358"/>
      <c r="AB38" s="320"/>
      <c r="AC38" s="219"/>
      <c r="AD38" s="224"/>
    </row>
    <row r="39" spans="1:30" ht="15.75">
      <c r="A39" s="156"/>
      <c r="B39" s="316"/>
      <c r="C39" s="242">
        <v>9</v>
      </c>
      <c r="D39" s="317" t="s">
        <v>138</v>
      </c>
      <c r="E39" s="351">
        <v>6</v>
      </c>
      <c r="F39" s="351" t="s">
        <v>178</v>
      </c>
      <c r="G39" s="351" t="s">
        <v>178</v>
      </c>
      <c r="H39" s="351" t="s">
        <v>178</v>
      </c>
      <c r="I39" s="318"/>
      <c r="J39" s="352">
        <v>6</v>
      </c>
      <c r="K39" s="352" t="s">
        <v>178</v>
      </c>
      <c r="L39" s="352" t="s">
        <v>178</v>
      </c>
      <c r="M39" s="352" t="s">
        <v>178</v>
      </c>
      <c r="N39" s="320">
        <v>38723</v>
      </c>
      <c r="O39" s="219"/>
      <c r="P39" s="224">
        <v>251.6</v>
      </c>
      <c r="Q39" s="221"/>
      <c r="R39" s="347">
        <v>-3</v>
      </c>
      <c r="S39" s="347" t="s">
        <v>179</v>
      </c>
      <c r="T39" s="347" t="s">
        <v>179</v>
      </c>
      <c r="U39" s="347" t="s">
        <v>179</v>
      </c>
      <c r="V39" s="318"/>
      <c r="W39" s="348">
        <v>-3</v>
      </c>
      <c r="X39" s="348" t="s">
        <v>178</v>
      </c>
      <c r="Y39" s="348" t="s">
        <v>179</v>
      </c>
      <c r="Z39" s="348" t="s">
        <v>178</v>
      </c>
      <c r="AA39" s="358"/>
      <c r="AB39" s="320">
        <v>38870</v>
      </c>
      <c r="AC39" s="219"/>
      <c r="AD39" s="224">
        <v>267.5</v>
      </c>
    </row>
    <row r="40" spans="1:30" ht="15.75">
      <c r="A40" s="156"/>
      <c r="B40" s="316"/>
      <c r="C40" s="242">
        <v>9</v>
      </c>
      <c r="D40" s="317" t="s">
        <v>138</v>
      </c>
      <c r="E40" s="351">
        <v>6</v>
      </c>
      <c r="F40" s="351" t="s">
        <v>178</v>
      </c>
      <c r="G40" s="351" t="s">
        <v>178</v>
      </c>
      <c r="H40" s="351" t="s">
        <v>178</v>
      </c>
      <c r="I40" s="318"/>
      <c r="J40" s="352">
        <v>2</v>
      </c>
      <c r="K40" s="352" t="s">
        <v>178</v>
      </c>
      <c r="L40" s="352" t="s">
        <v>178</v>
      </c>
      <c r="M40" s="352" t="s">
        <v>179</v>
      </c>
      <c r="N40" s="320">
        <v>39003</v>
      </c>
      <c r="O40" s="219"/>
      <c r="P40" s="224">
        <v>286.8</v>
      </c>
      <c r="Q40" s="221"/>
      <c r="R40" s="347">
        <v>-3</v>
      </c>
      <c r="S40" s="347" t="s">
        <v>179</v>
      </c>
      <c r="T40" s="347" t="s">
        <v>179</v>
      </c>
      <c r="U40" s="347" t="s">
        <v>179</v>
      </c>
      <c r="V40" s="318"/>
      <c r="W40" s="348">
        <v>-1</v>
      </c>
      <c r="X40" s="348" t="s">
        <v>178</v>
      </c>
      <c r="Y40" s="348" t="s">
        <v>179</v>
      </c>
      <c r="Z40" s="348" t="s">
        <v>178</v>
      </c>
      <c r="AA40" s="358"/>
      <c r="AB40" s="320">
        <v>39304</v>
      </c>
      <c r="AC40" s="219"/>
      <c r="AD40" s="224">
        <v>338.2</v>
      </c>
    </row>
    <row r="41" spans="1:30" ht="15.75">
      <c r="A41" s="156"/>
      <c r="B41" s="316"/>
      <c r="C41" s="242">
        <v>9</v>
      </c>
      <c r="D41" s="317" t="s">
        <v>138</v>
      </c>
      <c r="E41" s="351"/>
      <c r="F41" s="351"/>
      <c r="G41" s="351"/>
      <c r="H41" s="351"/>
      <c r="I41" s="318"/>
      <c r="J41" s="352"/>
      <c r="K41" s="352"/>
      <c r="L41" s="352"/>
      <c r="M41" s="352"/>
      <c r="N41" s="320"/>
      <c r="O41" s="219"/>
      <c r="P41" s="224"/>
      <c r="Q41" s="221"/>
      <c r="R41" s="347"/>
      <c r="S41" s="347"/>
      <c r="T41" s="347"/>
      <c r="U41" s="347"/>
      <c r="V41" s="318"/>
      <c r="W41" s="348"/>
      <c r="X41" s="348"/>
      <c r="Y41" s="348"/>
      <c r="Z41" s="348"/>
      <c r="AA41" s="358"/>
      <c r="AB41" s="320"/>
      <c r="AC41" s="219"/>
      <c r="AD41" s="224"/>
    </row>
    <row r="42" spans="1:30" ht="15.75">
      <c r="A42" s="156"/>
      <c r="B42" s="316"/>
      <c r="C42" s="242">
        <v>11</v>
      </c>
      <c r="D42" s="317" t="s">
        <v>140</v>
      </c>
      <c r="E42" s="351">
        <v>2</v>
      </c>
      <c r="F42" s="351" t="s">
        <v>178</v>
      </c>
      <c r="G42" s="351" t="s">
        <v>178</v>
      </c>
      <c r="H42" s="351" t="s">
        <v>178</v>
      </c>
      <c r="I42" s="318"/>
      <c r="J42" s="352">
        <v>-5</v>
      </c>
      <c r="K42" s="352" t="s">
        <v>178</v>
      </c>
      <c r="L42" s="352" t="s">
        <v>178</v>
      </c>
      <c r="M42" s="352" t="s">
        <v>178</v>
      </c>
      <c r="N42" s="320">
        <v>38723</v>
      </c>
      <c r="O42" s="219"/>
      <c r="P42" s="224">
        <v>228.4</v>
      </c>
      <c r="Q42" s="221"/>
      <c r="R42" s="347">
        <v>-3</v>
      </c>
      <c r="S42" s="347" t="s">
        <v>179</v>
      </c>
      <c r="T42" s="347" t="s">
        <v>179</v>
      </c>
      <c r="U42" s="347" t="s">
        <v>179</v>
      </c>
      <c r="V42" s="318"/>
      <c r="W42" s="348">
        <v>-1</v>
      </c>
      <c r="X42" s="348" t="s">
        <v>179</v>
      </c>
      <c r="Y42" s="348" t="s">
        <v>179</v>
      </c>
      <c r="Z42" s="348" t="s">
        <v>179</v>
      </c>
      <c r="AA42" s="358"/>
      <c r="AB42" s="320">
        <v>38870</v>
      </c>
      <c r="AC42" s="219"/>
      <c r="AD42" s="224">
        <v>225.5</v>
      </c>
    </row>
    <row r="43" spans="1:30" ht="15.75">
      <c r="A43" s="156"/>
      <c r="B43" s="316"/>
      <c r="C43" s="242">
        <v>11</v>
      </c>
      <c r="D43" s="317" t="s">
        <v>140</v>
      </c>
      <c r="E43" s="351">
        <v>2</v>
      </c>
      <c r="F43" s="351" t="s">
        <v>178</v>
      </c>
      <c r="G43" s="351" t="s">
        <v>178</v>
      </c>
      <c r="H43" s="351" t="s">
        <v>178</v>
      </c>
      <c r="I43" s="318"/>
      <c r="J43" s="352">
        <v>-5</v>
      </c>
      <c r="K43" s="352" t="s">
        <v>178</v>
      </c>
      <c r="L43" s="352" t="s">
        <v>178</v>
      </c>
      <c r="M43" s="352" t="s">
        <v>179</v>
      </c>
      <c r="N43" s="320">
        <v>38996</v>
      </c>
      <c r="O43" s="219"/>
      <c r="P43" s="224">
        <v>234.3</v>
      </c>
      <c r="Q43" s="221"/>
      <c r="R43" s="347">
        <v>-3</v>
      </c>
      <c r="S43" s="347" t="s">
        <v>179</v>
      </c>
      <c r="T43" s="347" t="s">
        <v>179</v>
      </c>
      <c r="U43" s="347" t="s">
        <v>179</v>
      </c>
      <c r="V43" s="318"/>
      <c r="W43" s="348">
        <v>-1</v>
      </c>
      <c r="X43" s="348" t="s">
        <v>179</v>
      </c>
      <c r="Y43" s="348" t="s">
        <v>179</v>
      </c>
      <c r="Z43" s="348" t="s">
        <v>179</v>
      </c>
      <c r="AA43" s="358"/>
      <c r="AB43" s="320">
        <v>39311</v>
      </c>
      <c r="AC43" s="219"/>
      <c r="AD43" s="224">
        <v>235.8</v>
      </c>
    </row>
    <row r="44" spans="1:30" ht="15.75">
      <c r="A44" s="156"/>
      <c r="B44" s="316"/>
      <c r="C44" s="242">
        <v>11</v>
      </c>
      <c r="D44" s="317" t="s">
        <v>140</v>
      </c>
      <c r="E44" s="351"/>
      <c r="F44" s="351"/>
      <c r="G44" s="351"/>
      <c r="H44" s="351"/>
      <c r="I44" s="318"/>
      <c r="J44" s="352"/>
      <c r="K44" s="352"/>
      <c r="L44" s="352"/>
      <c r="M44" s="352"/>
      <c r="N44" s="320"/>
      <c r="O44" s="219"/>
      <c r="P44" s="224"/>
      <c r="Q44" s="221"/>
      <c r="R44" s="347"/>
      <c r="S44" s="347"/>
      <c r="T44" s="347"/>
      <c r="U44" s="347"/>
      <c r="V44" s="318"/>
      <c r="W44" s="348"/>
      <c r="X44" s="348"/>
      <c r="Y44" s="348"/>
      <c r="Z44" s="348"/>
      <c r="AA44" s="358"/>
      <c r="AB44" s="320"/>
      <c r="AC44" s="219"/>
      <c r="AD44" s="224"/>
    </row>
    <row r="45" spans="1:30" ht="15.75">
      <c r="A45" s="156"/>
      <c r="B45" s="316"/>
      <c r="C45" s="242">
        <v>12</v>
      </c>
      <c r="D45" s="317" t="s">
        <v>141</v>
      </c>
      <c r="E45" s="351"/>
      <c r="F45" s="351"/>
      <c r="G45" s="351"/>
      <c r="H45" s="351"/>
      <c r="I45" s="318"/>
      <c r="J45" s="352"/>
      <c r="K45" s="352"/>
      <c r="L45" s="352"/>
      <c r="M45" s="352"/>
      <c r="N45" s="320"/>
      <c r="O45" s="219"/>
      <c r="P45" s="224"/>
      <c r="Q45" s="221"/>
      <c r="R45" s="347"/>
      <c r="S45" s="347"/>
      <c r="T45" s="347"/>
      <c r="U45" s="347"/>
      <c r="V45" s="318"/>
      <c r="W45" s="348"/>
      <c r="X45" s="348"/>
      <c r="Y45" s="348"/>
      <c r="Z45" s="348"/>
      <c r="AA45" s="358"/>
      <c r="AB45" s="320"/>
      <c r="AC45" s="219"/>
      <c r="AD45" s="224"/>
    </row>
    <row r="46" spans="1:30" ht="15.75">
      <c r="A46" s="156"/>
      <c r="B46" s="316"/>
      <c r="C46" s="242">
        <v>12</v>
      </c>
      <c r="D46" s="317" t="s">
        <v>141</v>
      </c>
      <c r="E46" s="351"/>
      <c r="F46" s="351"/>
      <c r="G46" s="351"/>
      <c r="H46" s="351"/>
      <c r="I46" s="318"/>
      <c r="J46" s="352"/>
      <c r="K46" s="352"/>
      <c r="L46" s="352"/>
      <c r="M46" s="352"/>
      <c r="N46" s="320"/>
      <c r="O46" s="219"/>
      <c r="P46" s="224"/>
      <c r="Q46" s="221"/>
      <c r="R46" s="347"/>
      <c r="S46" s="347"/>
      <c r="T46" s="347"/>
      <c r="U46" s="347"/>
      <c r="V46" s="318"/>
      <c r="W46" s="348"/>
      <c r="X46" s="348"/>
      <c r="Y46" s="348"/>
      <c r="Z46" s="348"/>
      <c r="AA46" s="358"/>
      <c r="AB46" s="320"/>
      <c r="AC46" s="219"/>
      <c r="AD46" s="224"/>
    </row>
    <row r="47" spans="1:30" ht="15.75">
      <c r="A47" s="156"/>
      <c r="B47" s="316"/>
      <c r="C47" s="242">
        <v>12</v>
      </c>
      <c r="D47" s="317" t="s">
        <v>141</v>
      </c>
      <c r="E47" s="351"/>
      <c r="F47" s="351"/>
      <c r="G47" s="351"/>
      <c r="H47" s="351"/>
      <c r="I47" s="318"/>
      <c r="J47" s="352"/>
      <c r="K47" s="352"/>
      <c r="L47" s="352"/>
      <c r="M47" s="352"/>
      <c r="N47" s="320"/>
      <c r="O47" s="219"/>
      <c r="P47" s="224"/>
      <c r="Q47" s="221"/>
      <c r="R47" s="347"/>
      <c r="S47" s="347"/>
      <c r="T47" s="347"/>
      <c r="U47" s="347"/>
      <c r="V47" s="318"/>
      <c r="W47" s="348"/>
      <c r="X47" s="348"/>
      <c r="Y47" s="348"/>
      <c r="Z47" s="348"/>
      <c r="AA47" s="358"/>
      <c r="AB47" s="320"/>
      <c r="AC47" s="219"/>
      <c r="AD47" s="224"/>
    </row>
    <row r="48" spans="1:30" ht="15.75">
      <c r="A48" s="156"/>
      <c r="B48" s="316"/>
      <c r="C48" s="242">
        <v>13</v>
      </c>
      <c r="D48" s="317" t="s">
        <v>142</v>
      </c>
      <c r="E48" s="351">
        <v>4</v>
      </c>
      <c r="F48" s="351" t="s">
        <v>178</v>
      </c>
      <c r="G48" s="351" t="s">
        <v>178</v>
      </c>
      <c r="H48" s="351" t="s">
        <v>178</v>
      </c>
      <c r="I48" s="318"/>
      <c r="J48" s="352">
        <v>6</v>
      </c>
      <c r="K48" s="352" t="s">
        <v>178</v>
      </c>
      <c r="L48" s="352" t="s">
        <v>178</v>
      </c>
      <c r="M48" s="352" t="s">
        <v>178</v>
      </c>
      <c r="N48" s="320">
        <v>38723</v>
      </c>
      <c r="O48" s="219"/>
      <c r="P48" s="224">
        <v>331.6</v>
      </c>
      <c r="Q48" s="221"/>
      <c r="R48" s="347">
        <v>-3</v>
      </c>
      <c r="S48" s="347" t="s">
        <v>179</v>
      </c>
      <c r="T48" s="347" t="s">
        <v>179</v>
      </c>
      <c r="U48" s="347" t="s">
        <v>179</v>
      </c>
      <c r="V48" s="318"/>
      <c r="W48" s="348">
        <v>-1</v>
      </c>
      <c r="X48" s="348" t="s">
        <v>178</v>
      </c>
      <c r="Y48" s="348" t="s">
        <v>179</v>
      </c>
      <c r="Z48" s="348" t="s">
        <v>178</v>
      </c>
      <c r="AA48" s="358"/>
      <c r="AB48" s="320">
        <v>38856</v>
      </c>
      <c r="AC48" s="219"/>
      <c r="AD48" s="224">
        <v>328.4</v>
      </c>
    </row>
    <row r="49" spans="1:30" ht="15.75">
      <c r="A49" s="156"/>
      <c r="B49" s="316"/>
      <c r="C49" s="242">
        <v>13</v>
      </c>
      <c r="D49" s="317" t="s">
        <v>142</v>
      </c>
      <c r="E49" s="351">
        <v>6</v>
      </c>
      <c r="F49" s="351" t="s">
        <v>178</v>
      </c>
      <c r="G49" s="351" t="s">
        <v>178</v>
      </c>
      <c r="H49" s="351" t="s">
        <v>178</v>
      </c>
      <c r="I49" s="318"/>
      <c r="J49" s="352">
        <v>6</v>
      </c>
      <c r="K49" s="352" t="s">
        <v>178</v>
      </c>
      <c r="L49" s="352" t="s">
        <v>178</v>
      </c>
      <c r="M49" s="352" t="s">
        <v>178</v>
      </c>
      <c r="N49" s="320">
        <v>38954</v>
      </c>
      <c r="O49" s="219"/>
      <c r="P49" s="224">
        <v>350.6</v>
      </c>
      <c r="Q49" s="221"/>
      <c r="R49" s="347">
        <v>-3</v>
      </c>
      <c r="S49" s="347" t="s">
        <v>179</v>
      </c>
      <c r="T49" s="347" t="s">
        <v>179</v>
      </c>
      <c r="U49" s="347" t="s">
        <v>179</v>
      </c>
      <c r="V49" s="318"/>
      <c r="W49" s="348">
        <v>-1</v>
      </c>
      <c r="X49" s="348" t="s">
        <v>178</v>
      </c>
      <c r="Y49" s="348" t="s">
        <v>179</v>
      </c>
      <c r="Z49" s="348" t="s">
        <v>178</v>
      </c>
      <c r="AA49" s="358"/>
      <c r="AB49" s="320">
        <v>39276</v>
      </c>
      <c r="AC49" s="219"/>
      <c r="AD49" s="224">
        <v>422.3</v>
      </c>
    </row>
    <row r="50" spans="1:30" ht="15.75">
      <c r="A50" s="156"/>
      <c r="B50" s="316"/>
      <c r="C50" s="242">
        <v>13</v>
      </c>
      <c r="D50" s="317" t="s">
        <v>142</v>
      </c>
      <c r="E50" s="351"/>
      <c r="F50" s="351"/>
      <c r="G50" s="351"/>
      <c r="H50" s="351"/>
      <c r="I50" s="318"/>
      <c r="J50" s="352"/>
      <c r="K50" s="352"/>
      <c r="L50" s="352"/>
      <c r="M50" s="352"/>
      <c r="N50" s="320"/>
      <c r="O50" s="219"/>
      <c r="P50" s="224"/>
      <c r="Q50" s="221"/>
      <c r="R50" s="347"/>
      <c r="S50" s="347"/>
      <c r="T50" s="347"/>
      <c r="U50" s="347"/>
      <c r="V50" s="318"/>
      <c r="W50" s="348"/>
      <c r="X50" s="348"/>
      <c r="Y50" s="348"/>
      <c r="Z50" s="348"/>
      <c r="AA50" s="358"/>
      <c r="AB50" s="320"/>
      <c r="AC50" s="219"/>
      <c r="AD50" s="224"/>
    </row>
    <row r="51" spans="1:30" ht="15.75">
      <c r="A51" s="156"/>
      <c r="B51" s="316"/>
      <c r="C51" s="242">
        <v>14</v>
      </c>
      <c r="D51" s="317" t="s">
        <v>143</v>
      </c>
      <c r="E51" s="351">
        <v>4</v>
      </c>
      <c r="F51" s="351" t="s">
        <v>178</v>
      </c>
      <c r="G51" s="351" t="s">
        <v>178</v>
      </c>
      <c r="H51" s="351" t="s">
        <v>178</v>
      </c>
      <c r="I51" s="318"/>
      <c r="J51" s="352">
        <v>2</v>
      </c>
      <c r="K51" s="352" t="s">
        <v>178</v>
      </c>
      <c r="L51" s="352" t="s">
        <v>178</v>
      </c>
      <c r="M51" s="352" t="s">
        <v>178</v>
      </c>
      <c r="N51" s="320">
        <v>38723</v>
      </c>
      <c r="O51" s="219"/>
      <c r="P51" s="224">
        <v>265</v>
      </c>
      <c r="Q51" s="221"/>
      <c r="R51" s="347">
        <v>-3</v>
      </c>
      <c r="S51" s="347" t="s">
        <v>179</v>
      </c>
      <c r="T51" s="347" t="s">
        <v>179</v>
      </c>
      <c r="U51" s="347" t="s">
        <v>179</v>
      </c>
      <c r="V51" s="318"/>
      <c r="W51" s="348">
        <v>-1</v>
      </c>
      <c r="X51" s="348" t="s">
        <v>178</v>
      </c>
      <c r="Y51" s="348" t="s">
        <v>178</v>
      </c>
      <c r="Z51" s="348" t="s">
        <v>178</v>
      </c>
      <c r="AA51" s="358" t="s">
        <v>180</v>
      </c>
      <c r="AB51" s="320">
        <v>39052</v>
      </c>
      <c r="AC51" s="219"/>
      <c r="AD51" s="224">
        <v>316.2</v>
      </c>
    </row>
    <row r="52" spans="1:30" ht="15.75">
      <c r="A52" s="156"/>
      <c r="B52" s="316"/>
      <c r="C52" s="242">
        <v>14</v>
      </c>
      <c r="D52" s="317" t="s">
        <v>143</v>
      </c>
      <c r="E52" s="351">
        <v>4</v>
      </c>
      <c r="F52" s="351" t="s">
        <v>178</v>
      </c>
      <c r="G52" s="351" t="s">
        <v>178</v>
      </c>
      <c r="H52" s="351" t="s">
        <v>178</v>
      </c>
      <c r="I52" s="318"/>
      <c r="J52" s="352">
        <v>2</v>
      </c>
      <c r="K52" s="352" t="s">
        <v>178</v>
      </c>
      <c r="L52" s="352" t="s">
        <v>178</v>
      </c>
      <c r="M52" s="352" t="s">
        <v>178</v>
      </c>
      <c r="N52" s="320">
        <v>39114</v>
      </c>
      <c r="O52" s="219"/>
      <c r="P52" s="224">
        <v>338.4</v>
      </c>
      <c r="Q52" s="221"/>
      <c r="R52" s="347">
        <v>-3</v>
      </c>
      <c r="S52" s="347" t="s">
        <v>179</v>
      </c>
      <c r="T52" s="347" t="s">
        <v>179</v>
      </c>
      <c r="U52" s="347" t="s">
        <v>179</v>
      </c>
      <c r="V52" s="318"/>
      <c r="W52" s="348">
        <v>-1</v>
      </c>
      <c r="X52" s="348" t="s">
        <v>178</v>
      </c>
      <c r="Y52" s="348" t="s">
        <v>179</v>
      </c>
      <c r="Z52" s="348" t="s">
        <v>178</v>
      </c>
      <c r="AA52" s="358"/>
      <c r="AB52" s="320">
        <v>39241</v>
      </c>
      <c r="AC52" s="219"/>
      <c r="AD52" s="224">
        <v>361.8</v>
      </c>
    </row>
    <row r="53" spans="1:27" ht="15.75">
      <c r="A53" s="156"/>
      <c r="B53" s="316"/>
      <c r="C53" s="242">
        <v>14</v>
      </c>
      <c r="D53" s="317" t="s">
        <v>143</v>
      </c>
      <c r="E53" s="351"/>
      <c r="F53" s="351"/>
      <c r="G53" s="351"/>
      <c r="H53" s="351"/>
      <c r="I53" s="318"/>
      <c r="J53" s="352"/>
      <c r="K53" s="352"/>
      <c r="L53" s="352"/>
      <c r="M53" s="352"/>
      <c r="P53" s="224"/>
      <c r="R53" s="347"/>
      <c r="S53" s="347"/>
      <c r="T53" s="347"/>
      <c r="U53" s="347"/>
      <c r="V53" s="318"/>
      <c r="W53" s="348"/>
      <c r="X53" s="348"/>
      <c r="Y53" s="348"/>
      <c r="Z53" s="348"/>
      <c r="AA53" s="359"/>
    </row>
    <row r="54" spans="1:30" ht="15.75">
      <c r="A54" s="156"/>
      <c r="B54" s="316"/>
      <c r="C54" s="242">
        <v>14</v>
      </c>
      <c r="D54" s="317" t="s">
        <v>143</v>
      </c>
      <c r="E54" s="351"/>
      <c r="F54" s="351"/>
      <c r="G54" s="351"/>
      <c r="H54" s="351"/>
      <c r="I54" s="318"/>
      <c r="J54" s="352"/>
      <c r="K54" s="352"/>
      <c r="L54" s="352"/>
      <c r="M54" s="352"/>
      <c r="N54" s="320"/>
      <c r="O54" s="219"/>
      <c r="P54" s="224"/>
      <c r="Q54" s="221"/>
      <c r="R54" s="347"/>
      <c r="S54" s="347"/>
      <c r="T54" s="347"/>
      <c r="U54" s="347"/>
      <c r="V54" s="318"/>
      <c r="W54" s="348"/>
      <c r="X54" s="348"/>
      <c r="Y54" s="348"/>
      <c r="Z54" s="348"/>
      <c r="AA54" s="358"/>
      <c r="AB54" s="320"/>
      <c r="AC54" s="219"/>
      <c r="AD54" s="224"/>
    </row>
    <row r="55" spans="1:30" ht="15.75">
      <c r="A55" s="156"/>
      <c r="B55" s="316"/>
      <c r="C55" s="242">
        <v>15</v>
      </c>
      <c r="D55" s="317" t="s">
        <v>144</v>
      </c>
      <c r="E55" s="351">
        <v>4</v>
      </c>
      <c r="F55" s="351" t="s">
        <v>178</v>
      </c>
      <c r="G55" s="351" t="s">
        <v>178</v>
      </c>
      <c r="H55" s="351" t="s">
        <v>178</v>
      </c>
      <c r="I55" s="318"/>
      <c r="J55" s="352">
        <v>4</v>
      </c>
      <c r="K55" s="352" t="s">
        <v>178</v>
      </c>
      <c r="L55" s="352" t="s">
        <v>178</v>
      </c>
      <c r="M55" s="352" t="s">
        <v>178</v>
      </c>
      <c r="N55" s="320">
        <v>38723</v>
      </c>
      <c r="O55" s="219"/>
      <c r="P55" s="224">
        <v>310.2</v>
      </c>
      <c r="Q55" s="221"/>
      <c r="R55" s="347">
        <v>-3</v>
      </c>
      <c r="S55" s="347" t="s">
        <v>178</v>
      </c>
      <c r="T55" s="347" t="s">
        <v>179</v>
      </c>
      <c r="U55" s="347" t="s">
        <v>179</v>
      </c>
      <c r="V55" s="318"/>
      <c r="W55" s="348">
        <v>-5</v>
      </c>
      <c r="X55" s="348" t="s">
        <v>178</v>
      </c>
      <c r="Y55" s="348" t="s">
        <v>179</v>
      </c>
      <c r="Z55" s="348" t="s">
        <v>178</v>
      </c>
      <c r="AA55" s="358"/>
      <c r="AB55" s="320">
        <v>38870</v>
      </c>
      <c r="AC55" s="219"/>
      <c r="AD55" s="224">
        <v>296.4</v>
      </c>
    </row>
    <row r="56" spans="1:30" ht="15.75">
      <c r="A56" s="156"/>
      <c r="B56" s="316"/>
      <c r="C56" s="242">
        <v>15</v>
      </c>
      <c r="D56" s="317" t="s">
        <v>144</v>
      </c>
      <c r="E56" s="351">
        <v>4</v>
      </c>
      <c r="F56" s="351" t="s">
        <v>178</v>
      </c>
      <c r="G56" s="351" t="s">
        <v>178</v>
      </c>
      <c r="H56" s="351" t="s">
        <v>178</v>
      </c>
      <c r="I56" s="318"/>
      <c r="J56" s="352">
        <v>2</v>
      </c>
      <c r="K56" s="352" t="s">
        <v>178</v>
      </c>
      <c r="L56" s="352" t="s">
        <v>179</v>
      </c>
      <c r="M56" s="352" t="s">
        <v>178</v>
      </c>
      <c r="N56" s="320">
        <v>39220</v>
      </c>
      <c r="O56" s="219"/>
      <c r="P56" s="224">
        <v>321.2</v>
      </c>
      <c r="Q56" s="221"/>
      <c r="R56" s="347">
        <v>-3</v>
      </c>
      <c r="S56" s="347" t="s">
        <v>178</v>
      </c>
      <c r="T56" s="347" t="s">
        <v>179</v>
      </c>
      <c r="U56" s="347" t="s">
        <v>179</v>
      </c>
      <c r="V56" s="318"/>
      <c r="W56" s="348">
        <v>-5</v>
      </c>
      <c r="X56" s="348" t="s">
        <v>178</v>
      </c>
      <c r="Y56" s="348" t="s">
        <v>179</v>
      </c>
      <c r="Z56" s="348" t="s">
        <v>178</v>
      </c>
      <c r="AA56" s="358"/>
      <c r="AB56" s="320">
        <v>39374</v>
      </c>
      <c r="AC56" s="219"/>
      <c r="AD56" s="224">
        <v>328.7</v>
      </c>
    </row>
    <row r="57" spans="1:30" ht="15.75">
      <c r="A57" s="156"/>
      <c r="B57" s="316"/>
      <c r="C57" s="242">
        <v>15</v>
      </c>
      <c r="D57" s="317" t="s">
        <v>144</v>
      </c>
      <c r="E57" s="351"/>
      <c r="F57" s="351"/>
      <c r="G57" s="351"/>
      <c r="H57" s="351"/>
      <c r="I57" s="318"/>
      <c r="J57" s="352"/>
      <c r="K57" s="352"/>
      <c r="L57" s="352"/>
      <c r="M57" s="352"/>
      <c r="N57" s="320"/>
      <c r="O57" s="219"/>
      <c r="P57" s="224"/>
      <c r="Q57" s="221"/>
      <c r="R57" s="347"/>
      <c r="S57" s="347"/>
      <c r="T57" s="347"/>
      <c r="U57" s="347"/>
      <c r="V57" s="318"/>
      <c r="W57" s="348"/>
      <c r="X57" s="348"/>
      <c r="Y57" s="348"/>
      <c r="Z57" s="348"/>
      <c r="AA57" s="358"/>
      <c r="AB57" s="320"/>
      <c r="AC57" s="219"/>
      <c r="AD57" s="224"/>
    </row>
    <row r="58" spans="1:30" ht="15.75">
      <c r="A58" s="156"/>
      <c r="B58" s="316"/>
      <c r="C58" s="242">
        <v>16</v>
      </c>
      <c r="D58" s="317" t="s">
        <v>145</v>
      </c>
      <c r="E58" s="351">
        <v>4</v>
      </c>
      <c r="F58" s="351" t="s">
        <v>178</v>
      </c>
      <c r="G58" s="351" t="s">
        <v>178</v>
      </c>
      <c r="H58" s="351" t="s">
        <v>178</v>
      </c>
      <c r="I58" s="318"/>
      <c r="J58" s="352">
        <v>4</v>
      </c>
      <c r="K58" s="352" t="s">
        <v>178</v>
      </c>
      <c r="L58" s="352" t="s">
        <v>178</v>
      </c>
      <c r="M58" s="352" t="s">
        <v>178</v>
      </c>
      <c r="N58" s="320">
        <v>38996</v>
      </c>
      <c r="O58" s="219"/>
      <c r="P58" s="224">
        <v>286.8</v>
      </c>
      <c r="Q58" s="221"/>
      <c r="R58" s="347">
        <v>-3</v>
      </c>
      <c r="S58" s="347" t="s">
        <v>179</v>
      </c>
      <c r="T58" s="347" t="s">
        <v>179</v>
      </c>
      <c r="U58" s="347" t="s">
        <v>179</v>
      </c>
      <c r="V58" s="318"/>
      <c r="W58" s="348">
        <v>-3</v>
      </c>
      <c r="X58" s="348" t="s">
        <v>178</v>
      </c>
      <c r="Y58" s="348" t="s">
        <v>179</v>
      </c>
      <c r="Z58" s="348" t="s">
        <v>178</v>
      </c>
      <c r="AA58" s="358"/>
      <c r="AB58" s="320">
        <v>39143</v>
      </c>
      <c r="AC58" s="219"/>
      <c r="AD58" s="224">
        <v>313</v>
      </c>
    </row>
    <row r="59" spans="1:30" ht="15.75">
      <c r="A59" s="156"/>
      <c r="B59" s="316"/>
      <c r="C59" s="242">
        <v>16</v>
      </c>
      <c r="D59" s="317" t="s">
        <v>145</v>
      </c>
      <c r="E59" s="351">
        <v>4</v>
      </c>
      <c r="F59" s="351" t="s">
        <v>178</v>
      </c>
      <c r="G59" s="351" t="s">
        <v>178</v>
      </c>
      <c r="H59" s="351" t="s">
        <v>178</v>
      </c>
      <c r="I59" s="318"/>
      <c r="J59" s="352">
        <v>4</v>
      </c>
      <c r="K59" s="352" t="s">
        <v>178</v>
      </c>
      <c r="L59" s="352" t="s">
        <v>178</v>
      </c>
      <c r="M59" s="352" t="s">
        <v>179</v>
      </c>
      <c r="N59" s="320">
        <v>39346</v>
      </c>
      <c r="O59" s="219"/>
      <c r="P59" s="224">
        <v>352.2</v>
      </c>
      <c r="Q59" s="221"/>
      <c r="R59" s="347">
        <v>-3</v>
      </c>
      <c r="S59" s="347" t="s">
        <v>179</v>
      </c>
      <c r="T59" s="347" t="s">
        <v>179</v>
      </c>
      <c r="U59" s="347" t="s">
        <v>179</v>
      </c>
      <c r="V59" s="318"/>
      <c r="W59" s="348">
        <v>-1</v>
      </c>
      <c r="X59" s="348" t="s">
        <v>179</v>
      </c>
      <c r="Y59" s="348" t="s">
        <v>179</v>
      </c>
      <c r="Z59" s="348" t="s">
        <v>179</v>
      </c>
      <c r="AA59" s="358"/>
      <c r="AB59" s="320">
        <v>39479</v>
      </c>
      <c r="AC59" s="219"/>
      <c r="AD59" s="224">
        <v>344</v>
      </c>
    </row>
    <row r="60" spans="1:27" ht="15.75">
      <c r="A60" s="156"/>
      <c r="B60" s="316"/>
      <c r="C60" s="242">
        <v>16</v>
      </c>
      <c r="D60" s="317" t="s">
        <v>145</v>
      </c>
      <c r="E60" s="351"/>
      <c r="F60" s="351"/>
      <c r="G60" s="351"/>
      <c r="H60" s="351"/>
      <c r="I60" s="318"/>
      <c r="J60" s="352"/>
      <c r="K60" s="352"/>
      <c r="L60" s="352"/>
      <c r="M60" s="352"/>
      <c r="P60" s="224"/>
      <c r="R60" s="347"/>
      <c r="S60" s="347"/>
      <c r="T60" s="347"/>
      <c r="U60" s="347"/>
      <c r="V60" s="318"/>
      <c r="W60" s="348"/>
      <c r="X60" s="348"/>
      <c r="Y60" s="348"/>
      <c r="Z60" s="348"/>
      <c r="AA60" s="359"/>
    </row>
    <row r="61" spans="1:30" ht="15">
      <c r="A61" s="156"/>
      <c r="B61" s="316"/>
      <c r="C61" s="242">
        <v>17</v>
      </c>
      <c r="D61" s="317" t="s">
        <v>146</v>
      </c>
      <c r="E61" s="351">
        <v>4</v>
      </c>
      <c r="F61" s="351" t="s">
        <v>178</v>
      </c>
      <c r="G61" s="351" t="s">
        <v>178</v>
      </c>
      <c r="H61" s="351" t="s">
        <v>178</v>
      </c>
      <c r="I61" s="318"/>
      <c r="J61" s="352">
        <v>4</v>
      </c>
      <c r="K61" s="352" t="s">
        <v>178</v>
      </c>
      <c r="L61" s="352" t="s">
        <v>178</v>
      </c>
      <c r="M61" s="352" t="s">
        <v>179</v>
      </c>
      <c r="N61" s="320">
        <v>38723</v>
      </c>
      <c r="O61" s="219"/>
      <c r="P61" s="224">
        <v>171.2</v>
      </c>
      <c r="Q61" s="221"/>
      <c r="R61" s="347">
        <v>-3</v>
      </c>
      <c r="S61" s="347" t="s">
        <v>179</v>
      </c>
      <c r="T61" s="347" t="s">
        <v>179</v>
      </c>
      <c r="U61" s="347" t="s">
        <v>179</v>
      </c>
      <c r="V61" s="318"/>
      <c r="W61" s="348">
        <v>-1</v>
      </c>
      <c r="X61" s="348" t="s">
        <v>178</v>
      </c>
      <c r="Y61" s="348" t="s">
        <v>179</v>
      </c>
      <c r="Z61" s="348" t="s">
        <v>178</v>
      </c>
      <c r="AA61" s="358"/>
      <c r="AB61" s="320">
        <v>38786</v>
      </c>
      <c r="AC61" s="219"/>
      <c r="AD61" s="224">
        <v>169.7</v>
      </c>
    </row>
    <row r="62" spans="1:30" ht="15">
      <c r="A62" s="156"/>
      <c r="B62" s="316"/>
      <c r="C62" s="242">
        <v>17</v>
      </c>
      <c r="D62" s="317" t="s">
        <v>146</v>
      </c>
      <c r="E62" s="351">
        <v>4</v>
      </c>
      <c r="F62" s="351" t="s">
        <v>178</v>
      </c>
      <c r="G62" s="351" t="s">
        <v>178</v>
      </c>
      <c r="H62" s="351" t="s">
        <v>178</v>
      </c>
      <c r="I62" s="318"/>
      <c r="J62" s="352">
        <v>2</v>
      </c>
      <c r="K62" s="352" t="s">
        <v>178</v>
      </c>
      <c r="L62" s="352" t="s">
        <v>178</v>
      </c>
      <c r="M62" s="352" t="s">
        <v>179</v>
      </c>
      <c r="N62" s="320">
        <v>38982</v>
      </c>
      <c r="O62" s="219"/>
      <c r="P62" s="224">
        <v>180</v>
      </c>
      <c r="Q62" s="221"/>
      <c r="R62" s="347">
        <v>-3</v>
      </c>
      <c r="S62" s="347" t="s">
        <v>179</v>
      </c>
      <c r="T62" s="347" t="s">
        <v>179</v>
      </c>
      <c r="U62" s="347" t="s">
        <v>179</v>
      </c>
      <c r="V62" s="318"/>
      <c r="W62" s="348">
        <v>-3</v>
      </c>
      <c r="X62" s="348" t="s">
        <v>178</v>
      </c>
      <c r="Y62" s="348" t="s">
        <v>179</v>
      </c>
      <c r="Z62" s="348" t="s">
        <v>178</v>
      </c>
      <c r="AA62" s="358"/>
      <c r="AB62" s="320">
        <v>39204</v>
      </c>
      <c r="AC62" s="219"/>
      <c r="AD62" s="224">
        <v>225</v>
      </c>
    </row>
    <row r="63" spans="1:30" ht="15">
      <c r="A63" s="156"/>
      <c r="B63" s="316"/>
      <c r="C63" s="242">
        <v>17</v>
      </c>
      <c r="D63" s="317" t="s">
        <v>146</v>
      </c>
      <c r="E63" s="351"/>
      <c r="F63" s="351"/>
      <c r="G63" s="351"/>
      <c r="H63" s="351"/>
      <c r="I63" s="318"/>
      <c r="J63" s="352"/>
      <c r="K63" s="352"/>
      <c r="L63" s="352"/>
      <c r="M63" s="352"/>
      <c r="N63" s="320"/>
      <c r="O63" s="219"/>
      <c r="P63" s="224"/>
      <c r="Q63" s="221"/>
      <c r="R63" s="347"/>
      <c r="S63" s="347"/>
      <c r="T63" s="347"/>
      <c r="U63" s="347"/>
      <c r="V63" s="318"/>
      <c r="W63" s="348"/>
      <c r="X63" s="348"/>
      <c r="Y63" s="348"/>
      <c r="Z63" s="348"/>
      <c r="AA63" s="358"/>
      <c r="AB63" s="320"/>
      <c r="AC63" s="219"/>
      <c r="AD63" s="224"/>
    </row>
    <row r="64" spans="1:30" ht="15">
      <c r="A64" s="156"/>
      <c r="B64" s="316"/>
      <c r="C64" s="242">
        <v>18</v>
      </c>
      <c r="D64" s="317" t="s">
        <v>147</v>
      </c>
      <c r="E64" s="351">
        <v>2</v>
      </c>
      <c r="F64" s="351" t="s">
        <v>178</v>
      </c>
      <c r="G64" s="351" t="s">
        <v>178</v>
      </c>
      <c r="H64" s="351" t="s">
        <v>178</v>
      </c>
      <c r="I64" s="318"/>
      <c r="J64" s="352">
        <v>4</v>
      </c>
      <c r="K64" s="352" t="s">
        <v>178</v>
      </c>
      <c r="L64" s="352" t="s">
        <v>178</v>
      </c>
      <c r="M64" s="352" t="s">
        <v>178</v>
      </c>
      <c r="N64" s="320">
        <v>38730</v>
      </c>
      <c r="O64" s="219"/>
      <c r="P64" s="224">
        <v>348.9</v>
      </c>
      <c r="Q64" s="221"/>
      <c r="R64" s="347">
        <v>2</v>
      </c>
      <c r="S64" s="347" t="s">
        <v>179</v>
      </c>
      <c r="T64" s="347" t="s">
        <v>179</v>
      </c>
      <c r="U64" s="347" t="s">
        <v>179</v>
      </c>
      <c r="V64" s="318"/>
      <c r="W64" s="348">
        <v>4</v>
      </c>
      <c r="X64" s="348" t="s">
        <v>178</v>
      </c>
      <c r="Y64" s="348" t="s">
        <v>179</v>
      </c>
      <c r="Z64" s="348" t="s">
        <v>178</v>
      </c>
      <c r="AA64" s="358"/>
      <c r="AB64" s="320">
        <v>39465</v>
      </c>
      <c r="AC64" s="219"/>
      <c r="AD64" s="224">
        <v>524.4</v>
      </c>
    </row>
    <row r="65" spans="1:30" ht="15">
      <c r="A65" s="156"/>
      <c r="B65" s="316"/>
      <c r="C65" s="242">
        <v>18</v>
      </c>
      <c r="D65" s="317" t="s">
        <v>147</v>
      </c>
      <c r="E65" s="351"/>
      <c r="F65" s="351"/>
      <c r="G65" s="351"/>
      <c r="H65" s="351"/>
      <c r="I65" s="318"/>
      <c r="J65" s="352"/>
      <c r="K65" s="352"/>
      <c r="L65" s="352"/>
      <c r="M65" s="352"/>
      <c r="N65" s="320"/>
      <c r="O65" s="219"/>
      <c r="P65" s="224"/>
      <c r="Q65" s="221"/>
      <c r="R65" s="347"/>
      <c r="S65" s="347"/>
      <c r="T65" s="347"/>
      <c r="U65" s="347"/>
      <c r="V65" s="318"/>
      <c r="W65" s="348"/>
      <c r="X65" s="348"/>
      <c r="Y65" s="348"/>
      <c r="Z65" s="348"/>
      <c r="AA65" s="358"/>
      <c r="AB65" s="320"/>
      <c r="AC65" s="219"/>
      <c r="AD65" s="224"/>
    </row>
    <row r="66" spans="5:8" ht="12.75">
      <c r="E66" s="72"/>
      <c r="F66" s="72"/>
      <c r="G66" s="72"/>
      <c r="H66" s="72"/>
    </row>
  </sheetData>
  <sheetProtection selectLockedCells="1" selectUnlockedCells="1"/>
  <mergeCells count="22">
    <mergeCell ref="G9:L9"/>
    <mergeCell ref="U9:Z9"/>
    <mergeCell ref="AB3:AD3"/>
    <mergeCell ref="AB9:AD9"/>
    <mergeCell ref="D5:D6"/>
    <mergeCell ref="O6:P6"/>
    <mergeCell ref="AB6:AC6"/>
    <mergeCell ref="D1:AD1"/>
    <mergeCell ref="D2:AD2"/>
    <mergeCell ref="AB5:AC5"/>
    <mergeCell ref="AD5:AD6"/>
    <mergeCell ref="Z5:Z6"/>
    <mergeCell ref="M5:M6"/>
    <mergeCell ref="O5:P5"/>
    <mergeCell ref="B9:B10"/>
    <mergeCell ref="C9:C10"/>
    <mergeCell ref="D9:D10"/>
    <mergeCell ref="N9:Q9"/>
    <mergeCell ref="B1:C8"/>
    <mergeCell ref="O3:Q3"/>
    <mergeCell ref="D7:AD7"/>
    <mergeCell ref="D8:AD8"/>
  </mergeCells>
  <printOptions gridLines="1"/>
  <pageMargins left="0.25" right="0.25" top="0.75" bottom="0.75" header="0.3" footer="0.3"/>
  <pageSetup fitToHeight="0" horizontalDpi="300" verticalDpi="300" orientation="landscape" paperSize="9" r:id="rId3"/>
  <headerFooter alignWithMargins="0">
    <oddHeader>&amp;L&amp;F&amp;C&amp;A&amp;RWG_&amp;D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85" zoomScaleNormal="85" zoomScalePageLayoutView="0" workbookViewId="0" topLeftCell="A1">
      <selection activeCell="P13" sqref="P13"/>
    </sheetView>
  </sheetViews>
  <sheetFormatPr defaultColWidth="11.421875" defaultRowHeight="12.75"/>
  <cols>
    <col min="2" max="4" width="7.7109375" style="0" customWidth="1"/>
    <col min="5" max="5" width="15.28125" style="0" customWidth="1"/>
    <col min="6" max="8" width="7.7109375" style="0" customWidth="1"/>
    <col min="9" max="9" width="15.7109375" style="0" customWidth="1"/>
  </cols>
  <sheetData>
    <row r="1" spans="1:11" ht="5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5" ht="26.25" customHeight="1" thickBot="1">
      <c r="A2" s="4"/>
      <c r="B2" s="5" t="s">
        <v>163</v>
      </c>
      <c r="C2" s="5"/>
      <c r="D2" s="5"/>
      <c r="E2" s="6"/>
      <c r="F2" s="5" t="s">
        <v>1</v>
      </c>
      <c r="G2" s="7"/>
      <c r="H2" s="6"/>
      <c r="I2" s="8">
        <f>+CX_jour!B1</f>
        <v>40053</v>
      </c>
      <c r="J2" s="9"/>
      <c r="K2" s="5" t="s">
        <v>2</v>
      </c>
      <c r="L2" s="5"/>
      <c r="M2" s="327">
        <f>+Bilan!G8</f>
        <v>0.20261441285334403</v>
      </c>
      <c r="N2" s="5" t="s">
        <v>167</v>
      </c>
      <c r="O2" s="327">
        <f>+Bilan!H8</f>
        <v>0.051737161173716295</v>
      </c>
    </row>
    <row r="3" ht="12.75">
      <c r="B3" t="s">
        <v>3</v>
      </c>
    </row>
    <row r="16" ht="12.75">
      <c r="L16" s="10"/>
    </row>
  </sheetData>
  <sheetProtection selectLockedCells="1" selectUnlockedCells="1"/>
  <printOptions/>
  <pageMargins left="0.7875" right="0.7875" top="0.7083333333333334" bottom="0.5798611111111112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zoomScale="150" zoomScaleNormal="150" zoomScalePageLayoutView="0" workbookViewId="0" topLeftCell="A10">
      <selection activeCell="F6" sqref="F6"/>
    </sheetView>
  </sheetViews>
  <sheetFormatPr defaultColWidth="11.421875" defaultRowHeight="12.75"/>
  <cols>
    <col min="2" max="4" width="7.7109375" style="0" customWidth="1"/>
    <col min="5" max="5" width="15.28125" style="0" customWidth="1"/>
    <col min="6" max="8" width="7.7109375" style="0" customWidth="1"/>
    <col min="9" max="9" width="15.7109375" style="0" customWidth="1"/>
  </cols>
  <sheetData>
    <row r="1" spans="1:11" ht="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6.25" customHeight="1">
      <c r="A2" s="11"/>
      <c r="B2" s="5" t="s">
        <v>0</v>
      </c>
      <c r="C2" s="5"/>
      <c r="D2" s="5"/>
      <c r="E2" s="6"/>
      <c r="F2" s="5" t="s">
        <v>1</v>
      </c>
      <c r="G2" s="7"/>
      <c r="H2" s="6"/>
      <c r="I2" s="8">
        <f>+CX_jour!B1</f>
        <v>40053</v>
      </c>
      <c r="J2" s="9"/>
      <c r="K2" s="12"/>
    </row>
    <row r="3" spans="2:9" ht="12.75">
      <c r="B3" s="13" t="s">
        <v>4</v>
      </c>
      <c r="C3" s="13"/>
      <c r="D3" s="13"/>
      <c r="E3" s="13"/>
      <c r="F3" s="14" t="s">
        <v>5</v>
      </c>
      <c r="G3" s="14"/>
      <c r="H3" s="14"/>
      <c r="I3" s="14"/>
    </row>
    <row r="4" spans="2:9" ht="12.75">
      <c r="B4" s="13" t="s">
        <v>6</v>
      </c>
      <c r="C4" s="13"/>
      <c r="D4" s="13" t="s">
        <v>7</v>
      </c>
      <c r="E4" s="15" t="s">
        <v>8</v>
      </c>
      <c r="F4" s="14" t="s">
        <v>9</v>
      </c>
      <c r="G4" s="14"/>
      <c r="H4" s="14" t="s">
        <v>10</v>
      </c>
      <c r="I4" s="14"/>
    </row>
    <row r="5" spans="1:9" ht="12.75">
      <c r="A5" s="16"/>
      <c r="B5" s="17"/>
      <c r="C5" s="17"/>
      <c r="D5" s="17"/>
      <c r="E5" s="14"/>
      <c r="F5" s="14"/>
      <c r="G5" s="14"/>
      <c r="H5" s="14"/>
      <c r="I5" s="14"/>
    </row>
    <row r="6" spans="1:8" ht="12.75">
      <c r="A6" s="16">
        <f>+Evolution!A5</f>
        <v>40053</v>
      </c>
      <c r="B6" s="18">
        <f>+Evolution!E5</f>
        <v>0.20261441285334403</v>
      </c>
      <c r="C6" s="18"/>
      <c r="D6" s="18">
        <f>+Evolution!N5</f>
        <v>-0.250788643533123</v>
      </c>
      <c r="E6" s="19" t="s">
        <v>11</v>
      </c>
      <c r="F6" s="20" t="e">
        <f>(+Evolution!D5/Evolution!D7)-1</f>
        <v>#DIV/0!</v>
      </c>
      <c r="G6" s="20"/>
      <c r="H6" s="20">
        <f>(+Evolution!I5/Evolution!I7)-1</f>
        <v>-0.250788643533123</v>
      </c>
    </row>
  </sheetData>
  <sheetProtection selectLockedCells="1" selectUnlockedCells="1"/>
  <printOptions/>
  <pageMargins left="0.7875" right="0.7875" top="0.7083333333333334" bottom="0.5798611111111112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"/>
  <sheetViews>
    <sheetView zoomScale="130" zoomScaleNormal="13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5" sqref="M5"/>
    </sheetView>
  </sheetViews>
  <sheetFormatPr defaultColWidth="11.421875" defaultRowHeight="12.75"/>
  <cols>
    <col min="1" max="1" width="9.7109375" style="0" customWidth="1"/>
    <col min="2" max="2" width="5.7109375" style="0" customWidth="1"/>
    <col min="3" max="4" width="9.28125" style="0" customWidth="1"/>
    <col min="5" max="5" width="8.28125" style="0" customWidth="1"/>
    <col min="6" max="6" width="9.7109375" style="0" customWidth="1"/>
    <col min="7" max="7" width="8.7109375" style="0" customWidth="1"/>
    <col min="8" max="8" width="7.7109375" style="0" customWidth="1"/>
    <col min="9" max="11" width="5.7109375" style="0" customWidth="1"/>
    <col min="12" max="16" width="6.7109375" style="0" customWidth="1"/>
    <col min="17" max="17" width="7.7109375" style="0" customWidth="1"/>
  </cols>
  <sheetData>
    <row r="1" spans="1:17" ht="17.25">
      <c r="A1" s="385" t="s">
        <v>12</v>
      </c>
      <c r="B1" s="385"/>
      <c r="C1" s="385"/>
      <c r="D1" s="385"/>
      <c r="E1" s="385"/>
      <c r="F1" s="385"/>
      <c r="G1" s="385"/>
      <c r="H1" s="385"/>
      <c r="I1" s="386" t="s">
        <v>13</v>
      </c>
      <c r="J1" s="386"/>
      <c r="K1" s="386"/>
      <c r="L1" s="386"/>
      <c r="M1" s="386"/>
      <c r="N1" s="386"/>
      <c r="O1" s="386"/>
      <c r="P1" s="386"/>
      <c r="Q1" s="386"/>
    </row>
    <row r="2" spans="1:17" ht="15">
      <c r="A2" s="387" t="s">
        <v>14</v>
      </c>
      <c r="B2" s="21" t="s">
        <v>15</v>
      </c>
      <c r="C2" s="21" t="s">
        <v>16</v>
      </c>
      <c r="D2" s="388" t="s">
        <v>17</v>
      </c>
      <c r="E2" s="388"/>
      <c r="F2" s="388"/>
      <c r="G2" s="388"/>
      <c r="H2" s="388"/>
      <c r="I2" s="389" t="s">
        <v>18</v>
      </c>
      <c r="J2" s="389"/>
      <c r="K2" s="389"/>
      <c r="L2" s="22"/>
      <c r="M2" s="23"/>
      <c r="N2" s="389" t="s">
        <v>19</v>
      </c>
      <c r="O2" s="389" t="s">
        <v>20</v>
      </c>
      <c r="P2" s="389" t="s">
        <v>21</v>
      </c>
      <c r="Q2" s="24"/>
    </row>
    <row r="3" spans="1:17" ht="13.5">
      <c r="A3" s="387"/>
      <c r="B3" s="25" t="s">
        <v>22</v>
      </c>
      <c r="C3" s="26" t="s">
        <v>23</v>
      </c>
      <c r="D3" s="390" t="s">
        <v>24</v>
      </c>
      <c r="E3" s="390"/>
      <c r="F3" s="391" t="s">
        <v>25</v>
      </c>
      <c r="G3" s="391"/>
      <c r="H3" s="27" t="s">
        <v>26</v>
      </c>
      <c r="I3" s="28" t="s">
        <v>27</v>
      </c>
      <c r="J3" s="29" t="s">
        <v>27</v>
      </c>
      <c r="K3" s="28" t="s">
        <v>28</v>
      </c>
      <c r="L3" s="28" t="s">
        <v>28</v>
      </c>
      <c r="M3" s="30" t="s">
        <v>29</v>
      </c>
      <c r="N3" s="28" t="s">
        <v>29</v>
      </c>
      <c r="O3" s="28" t="s">
        <v>29</v>
      </c>
      <c r="P3" s="28" t="s">
        <v>29</v>
      </c>
      <c r="Q3" s="28" t="s">
        <v>29</v>
      </c>
    </row>
    <row r="4" spans="1:17" ht="13.5">
      <c r="A4" s="387"/>
      <c r="B4" s="31" t="s">
        <v>30</v>
      </c>
      <c r="C4" s="32" t="s">
        <v>27</v>
      </c>
      <c r="D4" s="33" t="s">
        <v>27</v>
      </c>
      <c r="E4" s="27" t="s">
        <v>31</v>
      </c>
      <c r="F4" s="34" t="s">
        <v>27</v>
      </c>
      <c r="G4" s="35" t="s">
        <v>31</v>
      </c>
      <c r="H4" s="27" t="s">
        <v>27</v>
      </c>
      <c r="I4" s="36" t="s">
        <v>32</v>
      </c>
      <c r="J4" s="37" t="s">
        <v>28</v>
      </c>
      <c r="K4" s="36" t="s">
        <v>33</v>
      </c>
      <c r="L4" s="36" t="s">
        <v>34</v>
      </c>
      <c r="M4" s="38" t="s">
        <v>9</v>
      </c>
      <c r="N4" s="39" t="s">
        <v>32</v>
      </c>
      <c r="O4" s="39" t="s">
        <v>27</v>
      </c>
      <c r="P4" s="39" t="s">
        <v>33</v>
      </c>
      <c r="Q4" s="39" t="s">
        <v>34</v>
      </c>
    </row>
    <row r="5" spans="1:17" ht="15">
      <c r="A5" s="40">
        <f>+Bilan!C2</f>
        <v>40053</v>
      </c>
      <c r="B5" s="41">
        <f>+Bilan!B13</f>
        <v>17</v>
      </c>
      <c r="C5" s="42">
        <f>+Bilan!B4</f>
        <v>70000</v>
      </c>
      <c r="D5" s="43">
        <f>+Bilan!C8</f>
        <v>84183.00889973408</v>
      </c>
      <c r="E5" s="44">
        <f>+Bilan!G8</f>
        <v>0.20261441285334403</v>
      </c>
      <c r="F5" s="45">
        <f>+Bilan!C9</f>
        <v>83055.55695549857</v>
      </c>
      <c r="G5" s="46">
        <f>+Bilan!G9</f>
        <v>0.18650795650712237</v>
      </c>
      <c r="H5" s="47">
        <f>+Bilan!D8</f>
        <v>36880.77769420351</v>
      </c>
      <c r="I5" s="48">
        <v>237.5</v>
      </c>
      <c r="J5" s="49"/>
      <c r="K5" s="48"/>
      <c r="L5" s="48"/>
      <c r="M5" s="50">
        <f>+E5</f>
        <v>0.20261441285334403</v>
      </c>
      <c r="N5" s="51">
        <f>+(-1+(I5/I7))</f>
        <v>-0.250788643533123</v>
      </c>
      <c r="O5" s="51"/>
      <c r="P5" s="51"/>
      <c r="Q5" s="51"/>
    </row>
    <row r="6" spans="1:17" ht="15">
      <c r="A6" s="52"/>
      <c r="B6" s="53"/>
      <c r="C6" s="54"/>
      <c r="D6" s="53"/>
      <c r="E6" s="55"/>
      <c r="F6" s="56"/>
      <c r="G6" s="57"/>
      <c r="H6" s="58"/>
      <c r="I6" s="59"/>
      <c r="J6" s="60"/>
      <c r="K6" s="59"/>
      <c r="L6" s="59"/>
      <c r="M6" s="61"/>
      <c r="N6" s="61"/>
      <c r="O6" s="61"/>
      <c r="P6" s="61"/>
      <c r="Q6" s="61"/>
    </row>
    <row r="7" spans="1:23" s="69" customFormat="1" ht="13.5">
      <c r="A7" s="62">
        <v>38720</v>
      </c>
      <c r="B7" s="63">
        <v>0</v>
      </c>
      <c r="C7" s="63">
        <v>70000</v>
      </c>
      <c r="D7" s="63">
        <v>0</v>
      </c>
      <c r="E7" s="64">
        <v>0</v>
      </c>
      <c r="F7" s="63">
        <v>0</v>
      </c>
      <c r="G7" s="65">
        <v>0</v>
      </c>
      <c r="H7" s="66">
        <v>70000</v>
      </c>
      <c r="I7" s="59">
        <v>317</v>
      </c>
      <c r="J7" s="67"/>
      <c r="K7" s="59"/>
      <c r="L7" s="59"/>
      <c r="M7" s="68">
        <v>0</v>
      </c>
      <c r="N7" s="68">
        <v>0</v>
      </c>
      <c r="O7" s="65"/>
      <c r="P7" s="65"/>
      <c r="Q7" s="65"/>
      <c r="R7"/>
      <c r="S7"/>
      <c r="T7"/>
      <c r="U7"/>
      <c r="V7"/>
      <c r="W7"/>
    </row>
  </sheetData>
  <sheetProtection selectLockedCells="1" selectUnlockedCells="1"/>
  <mergeCells count="8">
    <mergeCell ref="A1:H1"/>
    <mergeCell ref="I1:Q1"/>
    <mergeCell ref="A2:A4"/>
    <mergeCell ref="D2:H2"/>
    <mergeCell ref="I2:K2"/>
    <mergeCell ref="N2:P2"/>
    <mergeCell ref="D3:E3"/>
    <mergeCell ref="F3:G3"/>
  </mergeCells>
  <printOptions/>
  <pageMargins left="0.32013888888888886" right="0.78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15"/>
  <sheetViews>
    <sheetView tabSelected="1" zoomScale="115" zoomScaleNormal="115" zoomScalePageLayoutView="0" workbookViewId="0" topLeftCell="A1">
      <selection activeCell="G19" sqref="G19"/>
    </sheetView>
  </sheetViews>
  <sheetFormatPr defaultColWidth="11.421875" defaultRowHeight="12.75"/>
  <cols>
    <col min="1" max="1" width="1.1484375" style="0" customWidth="1"/>
    <col min="2" max="4" width="9.7109375" style="0" customWidth="1"/>
    <col min="5" max="5" width="8.7109375" style="0" customWidth="1"/>
    <col min="6" max="6" width="8.28125" style="0" customWidth="1"/>
    <col min="7" max="7" width="7.7109375" style="0" customWidth="1"/>
    <col min="8" max="8" width="7.8515625" style="0" customWidth="1"/>
    <col min="9" max="10" width="7.7109375" style="0" customWidth="1"/>
    <col min="11" max="11" width="6.7109375" style="0" customWidth="1"/>
    <col min="12" max="12" width="9.7109375" style="0" customWidth="1"/>
    <col min="13" max="13" width="10.7109375" style="0" customWidth="1"/>
    <col min="14" max="14" width="9.7109375" style="0" customWidth="1"/>
    <col min="15" max="15" width="7.28125" style="0" customWidth="1"/>
    <col min="16" max="17" width="6.7109375" style="0" customWidth="1"/>
  </cols>
  <sheetData>
    <row r="1" spans="2:17" ht="31.5" customHeight="1">
      <c r="B1" s="393" t="s">
        <v>166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</row>
    <row r="2" spans="2:17" ht="25.5" customHeight="1">
      <c r="B2" s="70" t="s">
        <v>35</v>
      </c>
      <c r="C2" s="394">
        <f>+CX_jour!B1</f>
        <v>40053</v>
      </c>
      <c r="D2" s="394"/>
      <c r="E2" s="395" t="s">
        <v>36</v>
      </c>
      <c r="F2" s="395"/>
      <c r="G2" s="395"/>
      <c r="H2" s="395"/>
      <c r="I2" s="395"/>
      <c r="J2" s="395"/>
      <c r="K2" s="394">
        <v>38718</v>
      </c>
      <c r="L2" s="394"/>
      <c r="M2" s="396" t="s">
        <v>37</v>
      </c>
      <c r="N2" s="396"/>
      <c r="O2" s="396"/>
      <c r="P2" s="397">
        <f>+C2-K2</f>
        <v>1335</v>
      </c>
      <c r="Q2" s="397"/>
    </row>
    <row r="3" spans="2:17" ht="21" customHeight="1">
      <c r="B3" s="403" t="s">
        <v>162</v>
      </c>
      <c r="C3" s="403"/>
      <c r="D3" s="403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</row>
    <row r="4" spans="2:17" ht="21">
      <c r="B4" s="405">
        <v>70000</v>
      </c>
      <c r="C4" s="405"/>
      <c r="D4" s="71" t="s">
        <v>27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</row>
    <row r="5" spans="2:17" s="72" customFormat="1" ht="17.25">
      <c r="B5" s="392" t="s">
        <v>38</v>
      </c>
      <c r="C5" s="392"/>
      <c r="D5" s="392"/>
      <c r="E5" s="406" t="s">
        <v>39</v>
      </c>
      <c r="F5" s="406"/>
      <c r="G5" s="406"/>
      <c r="H5" s="406"/>
      <c r="I5" s="406"/>
      <c r="J5" s="406"/>
      <c r="K5" s="73"/>
      <c r="L5" s="392" t="s">
        <v>40</v>
      </c>
      <c r="M5" s="392"/>
      <c r="N5" s="392"/>
      <c r="O5" s="392"/>
      <c r="P5" s="392"/>
      <c r="Q5" s="392"/>
    </row>
    <row r="6" spans="2:17" s="72" customFormat="1" ht="18" customHeight="1">
      <c r="B6" s="74"/>
      <c r="C6" s="75" t="s">
        <v>41</v>
      </c>
      <c r="D6" s="75" t="s">
        <v>26</v>
      </c>
      <c r="E6" s="76" t="s">
        <v>41</v>
      </c>
      <c r="F6" s="415"/>
      <c r="G6" s="398" t="s">
        <v>42</v>
      </c>
      <c r="H6" s="399" t="s">
        <v>43</v>
      </c>
      <c r="I6" s="400" t="s">
        <v>44</v>
      </c>
      <c r="J6" s="400"/>
      <c r="K6" s="77"/>
      <c r="L6" s="401"/>
      <c r="M6" s="402"/>
      <c r="N6" s="78"/>
      <c r="O6" s="79"/>
      <c r="P6" s="409" t="s">
        <v>45</v>
      </c>
      <c r="Q6" s="410"/>
    </row>
    <row r="7" spans="2:17" s="72" customFormat="1" ht="51.75" customHeight="1">
      <c r="B7" s="80"/>
      <c r="C7" s="81" t="s">
        <v>27</v>
      </c>
      <c r="D7" s="82" t="s">
        <v>27</v>
      </c>
      <c r="E7" s="83" t="s">
        <v>27</v>
      </c>
      <c r="F7" s="415"/>
      <c r="G7" s="398"/>
      <c r="H7" s="399"/>
      <c r="I7" s="84" t="s">
        <v>46</v>
      </c>
      <c r="J7" s="85"/>
      <c r="K7" s="86"/>
      <c r="L7" s="401"/>
      <c r="M7" s="402"/>
      <c r="N7" s="411"/>
      <c r="O7" s="411"/>
      <c r="P7" s="409"/>
      <c r="Q7" s="410"/>
    </row>
    <row r="8" spans="2:17" s="72" customFormat="1" ht="17.25">
      <c r="B8" s="87" t="s">
        <v>47</v>
      </c>
      <c r="C8" s="88">
        <f>+D8+D14</f>
        <v>84183.00889973408</v>
      </c>
      <c r="D8" s="88">
        <f>+$B$4-E14+O14</f>
        <v>36880.77769420351</v>
      </c>
      <c r="E8" s="89">
        <f>+C8-$B$4</f>
        <v>14183.008899734079</v>
      </c>
      <c r="F8" s="412"/>
      <c r="G8" s="322">
        <f>+(C8/$B$4-1)</f>
        <v>0.20261441285334403</v>
      </c>
      <c r="H8" s="322">
        <f>+EXP((365/($C$2-$K$2)*LN(C8/$B$4)))-1</f>
        <v>0.051737161173716295</v>
      </c>
      <c r="I8" s="322">
        <f>+$G$8-Evolution!N5</f>
        <v>0.45340305638646705</v>
      </c>
      <c r="J8" s="90"/>
      <c r="K8" s="91"/>
      <c r="L8" s="92"/>
      <c r="M8" s="93"/>
      <c r="N8" s="94"/>
      <c r="O8" s="95"/>
      <c r="P8" s="96">
        <f>+('En cours'!$P$11+'En cours'!$I$11*'En cours'!$L$11)/'En cours'!$I$11</f>
        <v>0.0064</v>
      </c>
      <c r="Q8" s="413"/>
    </row>
    <row r="9" spans="2:17" s="72" customFormat="1" ht="17.25">
      <c r="B9" s="97" t="s">
        <v>48</v>
      </c>
      <c r="C9" s="98">
        <f>+D14+D9</f>
        <v>83055.55695549857</v>
      </c>
      <c r="D9" s="99">
        <f>+$B$4+O15-'En cours'!I5</f>
        <v>35753.325749968004</v>
      </c>
      <c r="E9" s="100">
        <f>+C9-$B$4</f>
        <v>13055.55695549857</v>
      </c>
      <c r="F9" s="412"/>
      <c r="G9" s="323">
        <f>+(C9/$B$4-1)</f>
        <v>0.18650795650712237</v>
      </c>
      <c r="H9" s="323">
        <f>+EXP((365/($C$2-$K$2)*LN(C9/$B$4)))-1</f>
        <v>0.047867109719639034</v>
      </c>
      <c r="I9" s="90"/>
      <c r="J9" s="90"/>
      <c r="K9" s="101"/>
      <c r="L9" s="92"/>
      <c r="M9" s="93"/>
      <c r="N9" s="102"/>
      <c r="O9" s="103"/>
      <c r="P9" s="104"/>
      <c r="Q9" s="413"/>
    </row>
    <row r="10" spans="2:17" s="72" customFormat="1" ht="19.5" customHeight="1" hidden="1"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105"/>
      <c r="Q10" s="106"/>
    </row>
    <row r="11" spans="2:17" ht="17.25">
      <c r="B11" s="407" t="s">
        <v>49</v>
      </c>
      <c r="C11" s="407"/>
      <c r="D11" s="407"/>
      <c r="E11" s="407"/>
      <c r="F11" s="407"/>
      <c r="G11" s="407"/>
      <c r="H11" s="407"/>
      <c r="I11" s="392" t="s">
        <v>50</v>
      </c>
      <c r="J11" s="392"/>
      <c r="K11" s="392"/>
      <c r="L11" s="392"/>
      <c r="M11" s="392"/>
      <c r="N11" s="392"/>
      <c r="O11" s="392"/>
      <c r="P11" s="392"/>
      <c r="Q11" s="392"/>
    </row>
    <row r="12" spans="2:17" ht="13.5">
      <c r="B12" s="107" t="s">
        <v>51</v>
      </c>
      <c r="C12" s="108" t="s">
        <v>52</v>
      </c>
      <c r="D12" s="109" t="s">
        <v>53</v>
      </c>
      <c r="E12" s="110" t="s">
        <v>54</v>
      </c>
      <c r="F12" s="111"/>
      <c r="G12" s="112" t="s">
        <v>31</v>
      </c>
      <c r="H12" s="113"/>
      <c r="I12" s="114"/>
      <c r="J12" s="114"/>
      <c r="K12" s="115" t="s">
        <v>51</v>
      </c>
      <c r="L12" s="116" t="s">
        <v>52</v>
      </c>
      <c r="M12" s="117" t="s">
        <v>55</v>
      </c>
      <c r="N12" s="118" t="s">
        <v>30</v>
      </c>
      <c r="O12" s="408" t="s">
        <v>31</v>
      </c>
      <c r="P12" s="408"/>
      <c r="Q12" s="408"/>
    </row>
    <row r="13" spans="2:17" ht="15">
      <c r="B13" s="119">
        <f>+'En cours'!D4</f>
        <v>17</v>
      </c>
      <c r="C13" s="120">
        <f>+CX_jour!B1</f>
        <v>40053</v>
      </c>
      <c r="D13" s="121" t="s">
        <v>27</v>
      </c>
      <c r="E13" s="122" t="s">
        <v>27</v>
      </c>
      <c r="F13" s="123" t="s">
        <v>27</v>
      </c>
      <c r="G13" s="124" t="s">
        <v>42</v>
      </c>
      <c r="H13" s="125" t="s">
        <v>56</v>
      </c>
      <c r="I13" s="114"/>
      <c r="J13" s="114"/>
      <c r="K13" s="126">
        <f>+Vendu!D5</f>
        <v>26</v>
      </c>
      <c r="L13" s="127">
        <f>+Vendu!B1</f>
        <v>40053</v>
      </c>
      <c r="M13" s="128" t="s">
        <v>27</v>
      </c>
      <c r="N13" s="128" t="s">
        <v>27</v>
      </c>
      <c r="O13" s="129" t="s">
        <v>27</v>
      </c>
      <c r="P13" s="129" t="s">
        <v>57</v>
      </c>
      <c r="Q13" s="129" t="s">
        <v>56</v>
      </c>
    </row>
    <row r="14" spans="2:17" ht="15">
      <c r="B14" s="107" t="s">
        <v>58</v>
      </c>
      <c r="C14" s="130"/>
      <c r="D14" s="131">
        <f>+'En cours'!L4</f>
        <v>47302.23120553057</v>
      </c>
      <c r="E14" s="132">
        <f>+'En cours'!I4</f>
        <v>42500</v>
      </c>
      <c r="F14" s="325">
        <f>+D14-E14</f>
        <v>4802.2312055305665</v>
      </c>
      <c r="G14" s="324">
        <f>+(D14/E14-1)</f>
        <v>0.11299367542424865</v>
      </c>
      <c r="H14" s="133">
        <f>+'En cours'!S4</f>
        <v>46.3315248312276</v>
      </c>
      <c r="I14" s="134"/>
      <c r="J14" s="135"/>
      <c r="K14" s="136" t="s">
        <v>58</v>
      </c>
      <c r="L14" s="137" t="s">
        <v>47</v>
      </c>
      <c r="M14" s="138">
        <f>+Vendu!L5</f>
        <v>74380.77769420351</v>
      </c>
      <c r="N14" s="138">
        <f>+Vendu!I5</f>
        <v>65000</v>
      </c>
      <c r="O14" s="139">
        <f>+Vendu!P5</f>
        <v>9380.777694203513</v>
      </c>
      <c r="P14" s="140">
        <f>+Vendu!R5</f>
        <v>14.431965683390018</v>
      </c>
      <c r="Q14" s="141">
        <f>+Vendu!T5</f>
        <v>13.880813678024955</v>
      </c>
    </row>
    <row r="15" spans="2:17" ht="17.25">
      <c r="B15" s="142">
        <f>+'En cours'!W5</f>
        <v>1</v>
      </c>
      <c r="C15" s="143"/>
      <c r="D15" s="144"/>
      <c r="E15" s="145"/>
      <c r="F15" s="146"/>
      <c r="G15" s="147"/>
      <c r="H15" s="148"/>
      <c r="I15" s="134"/>
      <c r="J15" s="135"/>
      <c r="K15" s="149">
        <f>+Vendu!W6</f>
        <v>0.7692307692307693</v>
      </c>
      <c r="L15" s="150" t="s">
        <v>48</v>
      </c>
      <c r="M15" s="151">
        <f>+Vendu!L6</f>
        <v>73941.325749968</v>
      </c>
      <c r="N15" s="151">
        <f>+Vendu!I6</f>
        <v>65416</v>
      </c>
      <c r="O15" s="152">
        <f>+Vendu!P6</f>
        <v>8525.325749968004</v>
      </c>
      <c r="P15" s="153">
        <f>+Vendu!R6</f>
        <v>13.032477910554</v>
      </c>
      <c r="Q15" s="154">
        <f>+Vendu!T6</f>
        <v>11.369091934895934</v>
      </c>
    </row>
  </sheetData>
  <sheetProtection selectLockedCells="1" selectUnlockedCells="1"/>
  <mergeCells count="27">
    <mergeCell ref="B11:H11"/>
    <mergeCell ref="I11:Q11"/>
    <mergeCell ref="O12:Q12"/>
    <mergeCell ref="P6:P7"/>
    <mergeCell ref="Q6:Q7"/>
    <mergeCell ref="N7:O7"/>
    <mergeCell ref="F8:F9"/>
    <mergeCell ref="Q8:Q9"/>
    <mergeCell ref="B10:O10"/>
    <mergeCell ref="F6:F7"/>
    <mergeCell ref="G6:G7"/>
    <mergeCell ref="H6:H7"/>
    <mergeCell ref="I6:J6"/>
    <mergeCell ref="L6:L7"/>
    <mergeCell ref="M6:M7"/>
    <mergeCell ref="B3:D3"/>
    <mergeCell ref="E3:Q4"/>
    <mergeCell ref="B4:C4"/>
    <mergeCell ref="B5:D5"/>
    <mergeCell ref="E5:J5"/>
    <mergeCell ref="L5:Q5"/>
    <mergeCell ref="B1:Q1"/>
    <mergeCell ref="C2:D2"/>
    <mergeCell ref="E2:J2"/>
    <mergeCell ref="K2:L2"/>
    <mergeCell ref="M2:O2"/>
    <mergeCell ref="P2:Q2"/>
  </mergeCells>
  <printOptions gridLines="1"/>
  <pageMargins left="0.25972222222222224" right="0.2" top="0.4" bottom="0.5201388888888889" header="0.5118055555555555" footer="0.511805555555555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6"/>
  <sheetViews>
    <sheetView zoomScale="130" zoomScaleNormal="130" zoomScalePageLayoutView="0" workbookViewId="0" topLeftCell="A1">
      <pane xSplit="4" ySplit="10" topLeftCell="E17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E26" sqref="E26"/>
    </sheetView>
  </sheetViews>
  <sheetFormatPr defaultColWidth="11.421875" defaultRowHeight="12.75"/>
  <cols>
    <col min="1" max="1" width="0" style="0" hidden="1" customWidth="1"/>
    <col min="2" max="2" width="3.7109375" style="0" customWidth="1"/>
    <col min="3" max="3" width="4.7109375" style="0" customWidth="1"/>
    <col min="4" max="4" width="13.28125" style="0" customWidth="1"/>
    <col min="5" max="5" width="7.7109375" style="0" customWidth="1"/>
    <col min="6" max="6" width="8.00390625" style="0" customWidth="1"/>
    <col min="7" max="7" width="3.7109375" style="0" customWidth="1"/>
    <col min="8" max="8" width="6.7109375" style="0" customWidth="1"/>
    <col min="9" max="10" width="4.7109375" style="0" customWidth="1"/>
    <col min="11" max="11" width="4.8515625" style="0" customWidth="1"/>
    <col min="12" max="12" width="8.57421875" style="0" customWidth="1"/>
    <col min="13" max="13" width="4.28125" style="0" customWidth="1"/>
    <col min="14" max="14" width="6.7109375" style="0" customWidth="1"/>
    <col min="15" max="15" width="4.7109375" style="0" customWidth="1"/>
    <col min="16" max="16" width="5.7109375" style="0" customWidth="1"/>
    <col min="17" max="17" width="5.28125" style="0" customWidth="1"/>
    <col min="18" max="18" width="4.28125" style="0" customWidth="1"/>
    <col min="19" max="19" width="6.140625" style="0" customWidth="1"/>
    <col min="20" max="22" width="4.7109375" style="0" customWidth="1"/>
    <col min="23" max="23" width="4.28125" style="0" customWidth="1"/>
    <col min="24" max="24" width="4.7109375" style="155" customWidth="1"/>
    <col min="25" max="25" width="6.421875" style="0" customWidth="1"/>
  </cols>
  <sheetData>
    <row r="1" spans="2:25" ht="24.75" customHeight="1">
      <c r="B1" s="457">
        <f>+CX_jour!B1</f>
        <v>40053</v>
      </c>
      <c r="C1" s="457"/>
      <c r="D1" s="416" t="s">
        <v>164</v>
      </c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</row>
    <row r="2" spans="1:25" ht="15.75" customHeight="1">
      <c r="A2" s="156"/>
      <c r="B2" s="457"/>
      <c r="C2" s="457"/>
      <c r="D2" s="157" t="s">
        <v>59</v>
      </c>
      <c r="E2" s="158"/>
      <c r="F2" s="159" t="s">
        <v>28</v>
      </c>
      <c r="G2" s="417" t="s">
        <v>60</v>
      </c>
      <c r="H2" s="417"/>
      <c r="I2" s="417"/>
      <c r="J2" s="417"/>
      <c r="K2" s="417"/>
      <c r="L2" s="418" t="s">
        <v>61</v>
      </c>
      <c r="M2" s="418"/>
      <c r="N2" s="418"/>
      <c r="O2" s="419" t="s">
        <v>62</v>
      </c>
      <c r="P2" s="419"/>
      <c r="Q2" s="419"/>
      <c r="R2" s="419"/>
      <c r="S2" s="419"/>
      <c r="T2" s="419"/>
      <c r="U2" s="420" t="s">
        <v>63</v>
      </c>
      <c r="V2" s="421" t="s">
        <v>63</v>
      </c>
      <c r="W2" s="422" t="s">
        <v>64</v>
      </c>
      <c r="X2" s="422"/>
      <c r="Y2" s="422"/>
    </row>
    <row r="3" spans="1:25" ht="15" customHeight="1">
      <c r="A3" s="156"/>
      <c r="B3" s="457"/>
      <c r="C3" s="457"/>
      <c r="D3" s="157" t="s">
        <v>30</v>
      </c>
      <c r="E3" s="158"/>
      <c r="F3" s="161" t="s">
        <v>65</v>
      </c>
      <c r="G3" s="162"/>
      <c r="H3" s="163"/>
      <c r="I3" s="164" t="s">
        <v>66</v>
      </c>
      <c r="J3" s="163"/>
      <c r="K3" s="165"/>
      <c r="L3" s="423" t="s">
        <v>27</v>
      </c>
      <c r="M3" s="423"/>
      <c r="N3" s="423"/>
      <c r="O3" s="424" t="s">
        <v>27</v>
      </c>
      <c r="P3" s="424"/>
      <c r="Q3" s="425"/>
      <c r="R3" s="425"/>
      <c r="S3" s="426" t="s">
        <v>67</v>
      </c>
      <c r="T3" s="426"/>
      <c r="U3" s="420"/>
      <c r="V3" s="421"/>
      <c r="W3" s="427" t="s">
        <v>68</v>
      </c>
      <c r="X3" s="427"/>
      <c r="Y3" s="166" t="s">
        <v>69</v>
      </c>
    </row>
    <row r="4" spans="1:25" ht="15.75" customHeight="1">
      <c r="A4" s="156"/>
      <c r="B4" s="457"/>
      <c r="C4" s="457"/>
      <c r="D4" s="428">
        <f>COUNTIF(H13:H32,"&gt;0.1")</f>
        <v>17</v>
      </c>
      <c r="F4" s="167">
        <f>+X10/L4</f>
        <v>0</v>
      </c>
      <c r="G4" s="429" t="s">
        <v>47</v>
      </c>
      <c r="H4" s="429"/>
      <c r="I4" s="430">
        <f>SUM(J13:J32)</f>
        <v>42500</v>
      </c>
      <c r="J4" s="430"/>
      <c r="K4" s="431">
        <f>SUM(K13:K32)</f>
        <v>272</v>
      </c>
      <c r="L4" s="432">
        <f>SUM(P13:P32)</f>
        <v>47302.23120553057</v>
      </c>
      <c r="M4" s="432"/>
      <c r="N4" s="432"/>
      <c r="O4" s="433">
        <f>+L4-I4</f>
        <v>4802.2312055305665</v>
      </c>
      <c r="P4" s="433"/>
      <c r="Q4" s="434"/>
      <c r="R4" s="434"/>
      <c r="S4" s="435">
        <f>(+U4/I4)*365*100</f>
        <v>46.3315248312276</v>
      </c>
      <c r="T4" s="435"/>
      <c r="U4" s="449">
        <f>SUM(U13:U32)</f>
        <v>53.9476658993746</v>
      </c>
      <c r="V4" s="436">
        <f>SUM(V13:V32)</f>
        <v>45.77277524062931</v>
      </c>
      <c r="W4" s="168">
        <f>COUNTIF(T13:T32,"&gt;=0")</f>
        <v>17</v>
      </c>
      <c r="X4" s="168">
        <f>COUNTIF(T13:T32,"&lt;0")</f>
        <v>0</v>
      </c>
      <c r="Y4" s="168">
        <f>COUNTIF(Y13:Y32,"&gt;=0")</f>
        <v>0</v>
      </c>
    </row>
    <row r="5" spans="1:25" ht="16.5" customHeight="1">
      <c r="A5" s="156"/>
      <c r="B5" s="457"/>
      <c r="C5" s="457"/>
      <c r="D5" s="428"/>
      <c r="F5" s="167">
        <f>+(L4-X10)/L4</f>
        <v>1</v>
      </c>
      <c r="G5" s="437" t="s">
        <v>48</v>
      </c>
      <c r="H5" s="437"/>
      <c r="I5" s="430">
        <f>+I4+K4</f>
        <v>42772</v>
      </c>
      <c r="J5" s="430"/>
      <c r="K5" s="431"/>
      <c r="L5" s="432"/>
      <c r="M5" s="432"/>
      <c r="N5" s="432"/>
      <c r="O5" s="438"/>
      <c r="P5" s="438"/>
      <c r="Q5" s="439"/>
      <c r="R5" s="439"/>
      <c r="S5" s="440"/>
      <c r="T5" s="440"/>
      <c r="U5" s="449"/>
      <c r="V5" s="436"/>
      <c r="W5" s="441">
        <f>W4/D4</f>
        <v>1</v>
      </c>
      <c r="X5" s="441"/>
      <c r="Y5" s="169">
        <f>+Y4/+D4</f>
        <v>0</v>
      </c>
    </row>
    <row r="6" spans="1:25" ht="15.75" customHeight="1">
      <c r="A6" s="156"/>
      <c r="B6" s="457"/>
      <c r="C6" s="457"/>
      <c r="D6" s="170" t="s">
        <v>70</v>
      </c>
      <c r="E6" s="171">
        <f>SUM(R12:R32)/+D4</f>
        <v>92.76470588235294</v>
      </c>
      <c r="F6" s="442"/>
      <c r="G6" s="442"/>
      <c r="H6" s="442"/>
      <c r="I6" s="443" t="s">
        <v>71</v>
      </c>
      <c r="J6" s="443"/>
      <c r="K6" s="172" t="s">
        <v>28</v>
      </c>
      <c r="L6" s="172" t="s">
        <v>72</v>
      </c>
      <c r="M6" s="173" t="s">
        <v>73</v>
      </c>
      <c r="N6" s="172" t="s">
        <v>74</v>
      </c>
      <c r="O6" s="444"/>
      <c r="P6" s="444"/>
      <c r="Q6" s="445"/>
      <c r="R6" s="445"/>
      <c r="S6" s="446"/>
      <c r="T6" s="446"/>
      <c r="U6" s="446"/>
      <c r="V6" s="446"/>
      <c r="W6" s="447" t="s">
        <v>75</v>
      </c>
      <c r="X6" s="447"/>
      <c r="Y6" s="174" t="s">
        <v>76</v>
      </c>
    </row>
    <row r="7" spans="1:25" ht="16.5" customHeight="1">
      <c r="A7" s="156"/>
      <c r="B7" s="457"/>
      <c r="C7" s="457"/>
      <c r="D7" s="175"/>
      <c r="E7" s="176"/>
      <c r="F7" s="442"/>
      <c r="G7" s="442"/>
      <c r="H7" s="442"/>
      <c r="I7" s="443" t="s">
        <v>77</v>
      </c>
      <c r="J7" s="443"/>
      <c r="K7" s="177">
        <f>+CX_jour!B3</f>
        <v>0</v>
      </c>
      <c r="L7" s="177">
        <f>+CX_jour!B4</f>
        <v>0</v>
      </c>
      <c r="M7" s="177">
        <f>+CX_jour!B5</f>
        <v>0</v>
      </c>
      <c r="N7" s="177">
        <f>+CX_jour!B6</f>
        <v>0</v>
      </c>
      <c r="O7" s="444"/>
      <c r="P7" s="444"/>
      <c r="Q7" s="445"/>
      <c r="R7" s="445"/>
      <c r="S7" s="446"/>
      <c r="T7" s="446"/>
      <c r="U7" s="446"/>
      <c r="V7" s="446"/>
      <c r="W7" s="448">
        <f>+CX_jour!B10</f>
        <v>0</v>
      </c>
      <c r="X7" s="448"/>
      <c r="Y7" s="178">
        <f>+CX_jour!B7</f>
        <v>0</v>
      </c>
    </row>
    <row r="8" spans="2:25" ht="19.5" customHeight="1">
      <c r="B8" s="457"/>
      <c r="C8" s="457"/>
      <c r="D8" s="450" t="s">
        <v>78</v>
      </c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</row>
    <row r="9" spans="3:25" ht="18" customHeight="1">
      <c r="C9" s="451" t="s">
        <v>79</v>
      </c>
      <c r="D9" s="452" t="s">
        <v>80</v>
      </c>
      <c r="E9" s="453" t="s">
        <v>41</v>
      </c>
      <c r="F9" s="454" t="s">
        <v>54</v>
      </c>
      <c r="G9" s="454"/>
      <c r="H9" s="454"/>
      <c r="I9" s="454"/>
      <c r="J9" s="454"/>
      <c r="K9" s="454"/>
      <c r="L9" s="455" t="s">
        <v>61</v>
      </c>
      <c r="M9" s="455"/>
      <c r="N9" s="455"/>
      <c r="O9" s="455"/>
      <c r="P9" s="455"/>
      <c r="Q9" s="455"/>
      <c r="R9" s="419" t="s">
        <v>62</v>
      </c>
      <c r="S9" s="419"/>
      <c r="T9" s="419"/>
      <c r="U9" s="419"/>
      <c r="V9" s="419"/>
      <c r="W9" s="160"/>
      <c r="X9" s="419"/>
      <c r="Y9" s="419"/>
    </row>
    <row r="10" spans="1:25" ht="14.25" customHeight="1">
      <c r="A10" s="156"/>
      <c r="C10" s="451"/>
      <c r="D10" s="452"/>
      <c r="E10" s="453"/>
      <c r="F10" s="144" t="s">
        <v>81</v>
      </c>
      <c r="G10" s="143" t="s">
        <v>82</v>
      </c>
      <c r="H10" s="143" t="s">
        <v>83</v>
      </c>
      <c r="I10" s="179" t="s">
        <v>77</v>
      </c>
      <c r="J10" s="180" t="s">
        <v>84</v>
      </c>
      <c r="K10" s="181" t="s">
        <v>85</v>
      </c>
      <c r="L10" s="182" t="s">
        <v>81</v>
      </c>
      <c r="M10" s="183" t="s">
        <v>82</v>
      </c>
      <c r="N10" s="183" t="s">
        <v>86</v>
      </c>
      <c r="O10" s="184" t="s">
        <v>77</v>
      </c>
      <c r="P10" s="185" t="s">
        <v>84</v>
      </c>
      <c r="Q10" s="186" t="s">
        <v>85</v>
      </c>
      <c r="R10" s="187" t="s">
        <v>87</v>
      </c>
      <c r="S10" s="188" t="s">
        <v>88</v>
      </c>
      <c r="T10" s="189" t="s">
        <v>89</v>
      </c>
      <c r="U10" s="190" t="s">
        <v>90</v>
      </c>
      <c r="V10" s="191" t="s">
        <v>90</v>
      </c>
      <c r="W10" s="188"/>
      <c r="X10" s="456"/>
      <c r="Y10" s="456"/>
    </row>
    <row r="11" spans="1:25" ht="20.25">
      <c r="A11" s="156"/>
      <c r="C11" s="192"/>
      <c r="D11" s="193"/>
      <c r="E11" s="194" t="s">
        <v>29</v>
      </c>
      <c r="F11" s="195"/>
      <c r="G11" s="196"/>
      <c r="H11" s="196"/>
      <c r="I11" s="197">
        <v>2500</v>
      </c>
      <c r="J11" s="198"/>
      <c r="L11" s="199">
        <v>0.0025</v>
      </c>
      <c r="M11" s="200"/>
      <c r="O11" s="201">
        <v>7.25</v>
      </c>
      <c r="P11" s="202">
        <v>9.75</v>
      </c>
      <c r="Q11" s="203">
        <v>12.75</v>
      </c>
      <c r="R11" s="204"/>
      <c r="S11" s="205"/>
      <c r="T11" s="206"/>
      <c r="U11" s="207"/>
      <c r="V11" s="208"/>
      <c r="W11" s="209"/>
      <c r="X11" s="210"/>
      <c r="Y11" s="211"/>
    </row>
    <row r="12" spans="1:25" ht="14.25" customHeight="1">
      <c r="A12" s="156"/>
      <c r="B12" s="212"/>
      <c r="C12" s="192"/>
      <c r="D12" s="213" t="s">
        <v>91</v>
      </c>
      <c r="E12" s="194"/>
      <c r="F12" s="195"/>
      <c r="G12" s="196"/>
      <c r="H12" s="214"/>
      <c r="I12" s="215"/>
      <c r="J12" s="215"/>
      <c r="K12" s="216"/>
      <c r="L12" s="195"/>
      <c r="M12" s="200"/>
      <c r="N12" s="215"/>
      <c r="O12" s="215"/>
      <c r="P12" s="215"/>
      <c r="Q12" s="216"/>
      <c r="R12" s="204"/>
      <c r="S12" s="205"/>
      <c r="T12" s="206"/>
      <c r="U12" s="207"/>
      <c r="V12" s="207"/>
      <c r="W12" s="217"/>
      <c r="X12" s="210"/>
      <c r="Y12" s="211"/>
    </row>
    <row r="13" spans="1:25" ht="18">
      <c r="A13" s="156"/>
      <c r="C13" s="326">
        <v>1</v>
      </c>
      <c r="D13" s="232" t="s">
        <v>92</v>
      </c>
      <c r="E13" s="233">
        <f>+S13+SUM(Vendu!S13:S14)</f>
        <v>52.76839348800932</v>
      </c>
      <c r="F13" s="218">
        <v>39927</v>
      </c>
      <c r="G13" s="219">
        <f aca="true" t="shared" si="0" ref="G13:G30">+$I$11/H13</f>
        <v>11.52073732718894</v>
      </c>
      <c r="H13" s="220">
        <v>217</v>
      </c>
      <c r="I13" s="221">
        <v>1</v>
      </c>
      <c r="J13" s="222">
        <f aca="true" t="shared" si="1" ref="J13:J30">+G13*H13/I13</f>
        <v>2500</v>
      </c>
      <c r="K13" s="223">
        <f aca="true" t="shared" si="2" ref="K13:K30">+($P$11+$L$11*J13)</f>
        <v>16</v>
      </c>
      <c r="L13" s="218">
        <f>+$B$1</f>
        <v>40053</v>
      </c>
      <c r="M13" s="219">
        <f aca="true" t="shared" si="3" ref="M13:M30">+G13</f>
        <v>11.52073732718894</v>
      </c>
      <c r="N13" s="224">
        <v>226.4</v>
      </c>
      <c r="O13" s="221">
        <v>1</v>
      </c>
      <c r="P13" s="222">
        <f aca="true" t="shared" si="4" ref="P13:P30">+M13*N13/+O13</f>
        <v>2608.294930875576</v>
      </c>
      <c r="Q13" s="223">
        <f aca="true" t="shared" si="5" ref="Q13:Q30">+$P$11+$L$11*P13</f>
        <v>16.27073732718894</v>
      </c>
      <c r="R13" s="225">
        <f aca="true" t="shared" si="6" ref="R13:R30">+L13-F13</f>
        <v>126</v>
      </c>
      <c r="S13" s="226">
        <f aca="true" t="shared" si="7" ref="S13:S30">100*(P13/J13-1)</f>
        <v>4.331797235023038</v>
      </c>
      <c r="T13" s="227">
        <f aca="true" t="shared" si="8" ref="T13:T30">(+U13/J13)*365*100</f>
        <v>12.548460244312775</v>
      </c>
      <c r="U13" s="228">
        <f aca="true" t="shared" si="9" ref="U13:U30">IF(R13&lt;5,0,(+P13-J13)/R13)</f>
        <v>0.8594835783775875</v>
      </c>
      <c r="V13" s="229">
        <f aca="true" t="shared" si="10" ref="V13:V30">IF(R13&lt;5,0,(+P13-J13-K13-Q13)/R13)</f>
        <v>0.6033666154633895</v>
      </c>
      <c r="W13" s="217"/>
      <c r="X13" s="230"/>
      <c r="Y13" s="231"/>
    </row>
    <row r="14" spans="1:25" ht="18">
      <c r="A14" s="156"/>
      <c r="C14" s="326">
        <v>2</v>
      </c>
      <c r="D14" s="232" t="s">
        <v>93</v>
      </c>
      <c r="E14" s="233">
        <f>+S14+SUM(Vendu!S16:S17)</f>
        <v>32.09867742046172</v>
      </c>
      <c r="F14" s="218">
        <v>39941</v>
      </c>
      <c r="G14" s="219">
        <f t="shared" si="0"/>
        <v>13.484358144552319</v>
      </c>
      <c r="H14" s="220">
        <v>185.4</v>
      </c>
      <c r="I14" s="221">
        <v>1</v>
      </c>
      <c r="J14" s="222">
        <f t="shared" si="1"/>
        <v>2500</v>
      </c>
      <c r="K14" s="223">
        <f t="shared" si="2"/>
        <v>16</v>
      </c>
      <c r="L14" s="218">
        <f aca="true" t="shared" si="11" ref="L14:L30">+$B$1</f>
        <v>40053</v>
      </c>
      <c r="M14" s="219">
        <f t="shared" si="3"/>
        <v>13.484358144552319</v>
      </c>
      <c r="N14" s="224">
        <v>235</v>
      </c>
      <c r="O14" s="221">
        <v>1</v>
      </c>
      <c r="P14" s="222">
        <f t="shared" si="4"/>
        <v>3168.824163969795</v>
      </c>
      <c r="Q14" s="223">
        <f t="shared" si="5"/>
        <v>17.672060409924487</v>
      </c>
      <c r="R14" s="225">
        <f t="shared" si="6"/>
        <v>112</v>
      </c>
      <c r="S14" s="226">
        <f t="shared" si="7"/>
        <v>26.7529665587918</v>
      </c>
      <c r="T14" s="227">
        <f t="shared" si="8"/>
        <v>87.1860070889197</v>
      </c>
      <c r="U14" s="228">
        <f t="shared" si="9"/>
        <v>5.971644321158883</v>
      </c>
      <c r="V14" s="229">
        <f t="shared" si="10"/>
        <v>5.6710009246417</v>
      </c>
      <c r="W14" s="217"/>
      <c r="X14" s="230"/>
      <c r="Y14" s="231"/>
    </row>
    <row r="15" spans="1:25" ht="18">
      <c r="A15" s="156"/>
      <c r="C15" s="326">
        <v>3</v>
      </c>
      <c r="D15" s="232" t="s">
        <v>94</v>
      </c>
      <c r="E15" s="233">
        <f>+S15+SUM(Vendu!S19:S21)</f>
        <v>68.8391983987632</v>
      </c>
      <c r="F15" s="218">
        <v>39912</v>
      </c>
      <c r="G15" s="219">
        <f t="shared" si="0"/>
        <v>8.503401360544217</v>
      </c>
      <c r="H15" s="220">
        <v>294</v>
      </c>
      <c r="I15" s="221">
        <v>1</v>
      </c>
      <c r="J15" s="222">
        <f t="shared" si="1"/>
        <v>2500</v>
      </c>
      <c r="K15" s="223">
        <f t="shared" si="2"/>
        <v>16</v>
      </c>
      <c r="L15" s="218">
        <f t="shared" si="11"/>
        <v>40053</v>
      </c>
      <c r="M15" s="219">
        <f t="shared" si="3"/>
        <v>8.503401360544217</v>
      </c>
      <c r="N15" s="224">
        <v>394.35</v>
      </c>
      <c r="O15" s="221">
        <v>1</v>
      </c>
      <c r="P15" s="222">
        <f t="shared" si="4"/>
        <v>3353.316326530612</v>
      </c>
      <c r="Q15" s="223">
        <f t="shared" si="5"/>
        <v>18.13329081632653</v>
      </c>
      <c r="R15" s="225">
        <f t="shared" si="6"/>
        <v>141</v>
      </c>
      <c r="S15" s="226">
        <f t="shared" si="7"/>
        <v>34.13265306122448</v>
      </c>
      <c r="T15" s="227">
        <f t="shared" si="8"/>
        <v>88.35757707338252</v>
      </c>
      <c r="U15" s="228">
        <f t="shared" si="9"/>
        <v>6.051888840642639</v>
      </c>
      <c r="V15" s="229">
        <f t="shared" si="10"/>
        <v>5.809808763931104</v>
      </c>
      <c r="W15" s="217"/>
      <c r="X15" s="230"/>
      <c r="Y15" s="231"/>
    </row>
    <row r="16" spans="1:25" ht="18">
      <c r="A16" s="156"/>
      <c r="C16" s="326">
        <v>4</v>
      </c>
      <c r="D16" s="232" t="s">
        <v>95</v>
      </c>
      <c r="E16" s="233">
        <f>+S16+SUM(Vendu!S22:S24)</f>
        <v>43.08186199780726</v>
      </c>
      <c r="F16" s="218">
        <v>39962</v>
      </c>
      <c r="G16" s="219">
        <f t="shared" si="0"/>
        <v>7.198387561186294</v>
      </c>
      <c r="H16" s="220">
        <v>347.3</v>
      </c>
      <c r="I16" s="221">
        <v>1</v>
      </c>
      <c r="J16" s="222">
        <f t="shared" si="1"/>
        <v>2500</v>
      </c>
      <c r="K16" s="223">
        <f t="shared" si="2"/>
        <v>16</v>
      </c>
      <c r="L16" s="218">
        <f t="shared" si="11"/>
        <v>40053</v>
      </c>
      <c r="M16" s="219">
        <f t="shared" si="3"/>
        <v>7.198387561186294</v>
      </c>
      <c r="N16" s="224">
        <v>383.66</v>
      </c>
      <c r="O16" s="221">
        <v>1</v>
      </c>
      <c r="P16" s="222">
        <f t="shared" si="4"/>
        <v>2761.733371724734</v>
      </c>
      <c r="Q16" s="223">
        <f t="shared" si="5"/>
        <v>16.654333429311833</v>
      </c>
      <c r="R16" s="225">
        <f t="shared" si="6"/>
        <v>91</v>
      </c>
      <c r="S16" s="226">
        <f t="shared" si="7"/>
        <v>10.469334868989355</v>
      </c>
      <c r="T16" s="227">
        <f t="shared" si="8"/>
        <v>41.992387111880376</v>
      </c>
      <c r="U16" s="228">
        <f t="shared" si="9"/>
        <v>2.876190898073998</v>
      </c>
      <c r="V16" s="229">
        <f t="shared" si="10"/>
        <v>2.5173520691804616</v>
      </c>
      <c r="W16" s="217"/>
      <c r="X16" s="230"/>
      <c r="Y16" s="231"/>
    </row>
    <row r="17" spans="1:25" ht="18">
      <c r="A17" s="156"/>
      <c r="C17" s="326">
        <v>5</v>
      </c>
      <c r="D17" s="232" t="s">
        <v>96</v>
      </c>
      <c r="E17" s="233">
        <f>+S17+SUM(Vendu!S25:S27)</f>
        <v>55.293315803478556</v>
      </c>
      <c r="F17" s="218">
        <v>39920</v>
      </c>
      <c r="G17" s="219">
        <f t="shared" si="0"/>
        <v>11.852835198179406</v>
      </c>
      <c r="H17" s="220">
        <v>210.92</v>
      </c>
      <c r="I17" s="221">
        <v>1</v>
      </c>
      <c r="J17" s="222">
        <f t="shared" si="1"/>
        <v>2500</v>
      </c>
      <c r="K17" s="223">
        <f t="shared" si="2"/>
        <v>16</v>
      </c>
      <c r="L17" s="218">
        <f t="shared" si="11"/>
        <v>40053</v>
      </c>
      <c r="M17" s="219">
        <f t="shared" si="3"/>
        <v>11.852835198179406</v>
      </c>
      <c r="N17" s="224">
        <v>257.71</v>
      </c>
      <c r="O17" s="221">
        <v>1</v>
      </c>
      <c r="P17" s="222">
        <f t="shared" si="4"/>
        <v>3054.5941589228146</v>
      </c>
      <c r="Q17" s="223">
        <f t="shared" si="5"/>
        <v>17.386485397307037</v>
      </c>
      <c r="R17" s="225">
        <f t="shared" si="6"/>
        <v>133</v>
      </c>
      <c r="S17" s="226">
        <f t="shared" si="7"/>
        <v>22.183766356912592</v>
      </c>
      <c r="T17" s="227">
        <f t="shared" si="8"/>
        <v>60.880261054684915</v>
      </c>
      <c r="U17" s="228">
        <f t="shared" si="9"/>
        <v>4.169880894156501</v>
      </c>
      <c r="V17" s="229">
        <f t="shared" si="10"/>
        <v>3.918854688161711</v>
      </c>
      <c r="W17" s="217"/>
      <c r="X17" s="230"/>
      <c r="Y17" s="231"/>
    </row>
    <row r="18" spans="1:25" ht="18">
      <c r="A18" s="156"/>
      <c r="C18" s="326">
        <v>6</v>
      </c>
      <c r="D18" s="232" t="s">
        <v>97</v>
      </c>
      <c r="E18" s="233">
        <f>+S18+SUM(Vendu!S28:S31)</f>
        <v>31.69765716290248</v>
      </c>
      <c r="F18" s="218">
        <v>39948</v>
      </c>
      <c r="G18" s="219">
        <f t="shared" si="0"/>
        <v>10.656436487638533</v>
      </c>
      <c r="H18" s="220">
        <v>234.6</v>
      </c>
      <c r="I18" s="221">
        <v>1</v>
      </c>
      <c r="J18" s="222">
        <f t="shared" si="1"/>
        <v>2500</v>
      </c>
      <c r="K18" s="223">
        <f t="shared" si="2"/>
        <v>16</v>
      </c>
      <c r="L18" s="218">
        <f t="shared" si="11"/>
        <v>40053</v>
      </c>
      <c r="M18" s="219">
        <f t="shared" si="3"/>
        <v>10.656436487638533</v>
      </c>
      <c r="N18" s="224">
        <v>259.11</v>
      </c>
      <c r="O18" s="221">
        <v>1</v>
      </c>
      <c r="P18" s="222">
        <f t="shared" si="4"/>
        <v>2761.1892583120207</v>
      </c>
      <c r="Q18" s="223">
        <f t="shared" si="5"/>
        <v>16.652973145780052</v>
      </c>
      <c r="R18" s="225">
        <f t="shared" si="6"/>
        <v>105</v>
      </c>
      <c r="S18" s="226">
        <f t="shared" si="7"/>
        <v>10.447570332480826</v>
      </c>
      <c r="T18" s="227">
        <f t="shared" si="8"/>
        <v>36.317744489100015</v>
      </c>
      <c r="U18" s="228">
        <f t="shared" si="9"/>
        <v>2.4875167458287684</v>
      </c>
      <c r="V18" s="229">
        <f t="shared" si="10"/>
        <v>2.176536049202292</v>
      </c>
      <c r="W18" s="217"/>
      <c r="X18" s="230"/>
      <c r="Y18" s="231"/>
    </row>
    <row r="19" spans="1:25" ht="18">
      <c r="A19" s="156"/>
      <c r="C19" s="326">
        <v>7</v>
      </c>
      <c r="D19" s="232" t="s">
        <v>98</v>
      </c>
      <c r="E19" s="233">
        <f>+S19+SUM(Vendu!S32:S35)</f>
        <v>51.403525526971315</v>
      </c>
      <c r="F19" s="218">
        <v>39941</v>
      </c>
      <c r="G19" s="219">
        <f t="shared" si="0"/>
        <v>12.112403100775193</v>
      </c>
      <c r="H19" s="220">
        <v>206.4</v>
      </c>
      <c r="I19" s="221">
        <v>1</v>
      </c>
      <c r="J19" s="222">
        <f t="shared" si="1"/>
        <v>2500</v>
      </c>
      <c r="K19" s="223">
        <f t="shared" si="2"/>
        <v>16</v>
      </c>
      <c r="L19" s="218">
        <f t="shared" si="11"/>
        <v>40053</v>
      </c>
      <c r="M19" s="219">
        <f t="shared" si="3"/>
        <v>12.112403100775193</v>
      </c>
      <c r="N19" s="224">
        <v>229.33</v>
      </c>
      <c r="O19" s="221">
        <v>1</v>
      </c>
      <c r="P19" s="222">
        <f t="shared" si="4"/>
        <v>2777.7374031007753</v>
      </c>
      <c r="Q19" s="223">
        <f t="shared" si="5"/>
        <v>16.694343507751938</v>
      </c>
      <c r="R19" s="225">
        <f t="shared" si="6"/>
        <v>112</v>
      </c>
      <c r="S19" s="226">
        <f t="shared" si="7"/>
        <v>11.109496124031004</v>
      </c>
      <c r="T19" s="227">
        <f t="shared" si="8"/>
        <v>36.20505433277963</v>
      </c>
      <c r="U19" s="228">
        <f t="shared" si="9"/>
        <v>2.4797982419712077</v>
      </c>
      <c r="V19" s="229">
        <f t="shared" si="10"/>
        <v>2.1878844606519943</v>
      </c>
      <c r="W19" s="217"/>
      <c r="X19" s="230"/>
      <c r="Y19" s="231"/>
    </row>
    <row r="20" spans="1:25" ht="18">
      <c r="A20" s="156"/>
      <c r="C20" s="326">
        <v>8</v>
      </c>
      <c r="D20" s="232" t="s">
        <v>99</v>
      </c>
      <c r="E20" s="233">
        <f>+S20+SUM(Vendu!S36:S38)</f>
        <v>-9.192318849074832</v>
      </c>
      <c r="F20" s="218">
        <v>40018</v>
      </c>
      <c r="G20" s="219">
        <f t="shared" si="0"/>
        <v>7.759155803848541</v>
      </c>
      <c r="H20" s="220">
        <v>322.2</v>
      </c>
      <c r="I20" s="221">
        <v>1</v>
      </c>
      <c r="J20" s="222">
        <f t="shared" si="1"/>
        <v>2500</v>
      </c>
      <c r="K20" s="223">
        <f t="shared" si="2"/>
        <v>16</v>
      </c>
      <c r="L20" s="218">
        <f t="shared" si="11"/>
        <v>40053</v>
      </c>
      <c r="M20" s="219">
        <f t="shared" si="3"/>
        <v>7.759155803848541</v>
      </c>
      <c r="N20" s="224">
        <v>333.67</v>
      </c>
      <c r="O20" s="221">
        <v>1</v>
      </c>
      <c r="P20" s="222">
        <f t="shared" si="4"/>
        <v>2588.9975170701427</v>
      </c>
      <c r="Q20" s="223">
        <f t="shared" si="5"/>
        <v>16.22249379267536</v>
      </c>
      <c r="R20" s="225">
        <f t="shared" si="6"/>
        <v>35</v>
      </c>
      <c r="S20" s="226">
        <f t="shared" si="7"/>
        <v>3.5599006828057167</v>
      </c>
      <c r="T20" s="227">
        <f t="shared" si="8"/>
        <v>37.12467854925954</v>
      </c>
      <c r="U20" s="228">
        <f t="shared" si="9"/>
        <v>2.5427862020040783</v>
      </c>
      <c r="V20" s="229">
        <f t="shared" si="10"/>
        <v>1.622143522213354</v>
      </c>
      <c r="W20" s="217"/>
      <c r="X20" s="230"/>
      <c r="Y20" s="231"/>
    </row>
    <row r="21" spans="1:25" ht="18">
      <c r="A21" s="156"/>
      <c r="C21" s="326">
        <v>9</v>
      </c>
      <c r="D21" s="232" t="s">
        <v>100</v>
      </c>
      <c r="E21" s="233">
        <f>+S21+SUM(Vendu!S39:S41)</f>
        <v>45.17143674436974</v>
      </c>
      <c r="F21" s="218">
        <v>39927</v>
      </c>
      <c r="G21" s="219">
        <f t="shared" si="0"/>
        <v>13.30070227708023</v>
      </c>
      <c r="H21" s="220">
        <v>187.96</v>
      </c>
      <c r="I21" s="221">
        <v>1</v>
      </c>
      <c r="J21" s="222">
        <f t="shared" si="1"/>
        <v>2500</v>
      </c>
      <c r="K21" s="223">
        <f t="shared" si="2"/>
        <v>16</v>
      </c>
      <c r="L21" s="218">
        <f t="shared" si="11"/>
        <v>40053</v>
      </c>
      <c r="M21" s="219">
        <f t="shared" si="3"/>
        <v>13.30070227708023</v>
      </c>
      <c r="N21" s="224">
        <v>227.3</v>
      </c>
      <c r="O21" s="221">
        <v>1</v>
      </c>
      <c r="P21" s="222">
        <f t="shared" si="4"/>
        <v>3023.2496275803364</v>
      </c>
      <c r="Q21" s="223">
        <f t="shared" si="5"/>
        <v>17.30812406895084</v>
      </c>
      <c r="R21" s="225">
        <f t="shared" si="6"/>
        <v>126</v>
      </c>
      <c r="S21" s="226">
        <f t="shared" si="7"/>
        <v>20.92998510321347</v>
      </c>
      <c r="T21" s="227">
        <f t="shared" si="8"/>
        <v>60.63051240216596</v>
      </c>
      <c r="U21" s="228">
        <f t="shared" si="9"/>
        <v>4.152774822066162</v>
      </c>
      <c r="V21" s="229">
        <f t="shared" si="10"/>
        <v>3.8884246310427426</v>
      </c>
      <c r="W21" s="217"/>
      <c r="X21" s="230"/>
      <c r="Y21" s="231"/>
    </row>
    <row r="22" spans="1:25" ht="18">
      <c r="A22" s="156"/>
      <c r="C22" s="326">
        <v>10</v>
      </c>
      <c r="D22" s="232" t="s">
        <v>101</v>
      </c>
      <c r="E22" s="233">
        <f>+S22+SUM(Vendu!S42:S44)</f>
        <v>11.940894568690098</v>
      </c>
      <c r="F22" s="218"/>
      <c r="G22" s="219"/>
      <c r="H22" s="220"/>
      <c r="I22" s="221"/>
      <c r="J22" s="222"/>
      <c r="K22" s="223"/>
      <c r="L22" s="218"/>
      <c r="M22" s="219"/>
      <c r="N22" s="224"/>
      <c r="O22" s="221"/>
      <c r="P22" s="222"/>
      <c r="Q22" s="223"/>
      <c r="R22" s="225"/>
      <c r="S22" s="226"/>
      <c r="T22" s="227"/>
      <c r="U22" s="228"/>
      <c r="V22" s="229"/>
      <c r="W22" s="217"/>
      <c r="X22" s="230"/>
      <c r="Y22" s="231"/>
    </row>
    <row r="23" spans="1:25" ht="18">
      <c r="A23" s="156"/>
      <c r="C23" s="326">
        <v>11</v>
      </c>
      <c r="D23" s="232" t="s">
        <v>102</v>
      </c>
      <c r="E23" s="233">
        <f>+S23+SUM(Vendu!S45:S47)</f>
        <v>0</v>
      </c>
      <c r="F23" s="218">
        <v>40053</v>
      </c>
      <c r="G23" s="219">
        <f t="shared" si="0"/>
        <v>17.17622810030917</v>
      </c>
      <c r="H23" s="220">
        <v>145.55</v>
      </c>
      <c r="I23" s="221">
        <v>1</v>
      </c>
      <c r="J23" s="222">
        <f t="shared" si="1"/>
        <v>2500</v>
      </c>
      <c r="K23" s="223">
        <f t="shared" si="2"/>
        <v>16</v>
      </c>
      <c r="L23" s="218">
        <f t="shared" si="11"/>
        <v>40053</v>
      </c>
      <c r="M23" s="219">
        <f t="shared" si="3"/>
        <v>17.17622810030917</v>
      </c>
      <c r="N23" s="224">
        <v>145.55</v>
      </c>
      <c r="O23" s="221">
        <v>1</v>
      </c>
      <c r="P23" s="222">
        <f t="shared" si="4"/>
        <v>2500</v>
      </c>
      <c r="Q23" s="223">
        <f t="shared" si="5"/>
        <v>16</v>
      </c>
      <c r="R23" s="225">
        <f t="shared" si="6"/>
        <v>0</v>
      </c>
      <c r="S23" s="226">
        <f t="shared" si="7"/>
        <v>0</v>
      </c>
      <c r="T23" s="227">
        <f t="shared" si="8"/>
        <v>0</v>
      </c>
      <c r="U23" s="228">
        <f t="shared" si="9"/>
        <v>0</v>
      </c>
      <c r="V23" s="229">
        <f t="shared" si="10"/>
        <v>0</v>
      </c>
      <c r="W23" s="217"/>
      <c r="X23" s="230"/>
      <c r="Y23" s="231"/>
    </row>
    <row r="24" spans="1:25" ht="18">
      <c r="A24" s="156"/>
      <c r="C24" s="326">
        <v>12</v>
      </c>
      <c r="D24" s="232" t="s">
        <v>103</v>
      </c>
      <c r="E24" s="233">
        <f>+S24+SUM(Vendu!S48:S50)</f>
        <v>1.3445378151260678</v>
      </c>
      <c r="F24" s="218">
        <v>39962</v>
      </c>
      <c r="G24" s="219">
        <f t="shared" si="0"/>
        <v>8.403361344537815</v>
      </c>
      <c r="H24" s="220">
        <v>297.5</v>
      </c>
      <c r="I24" s="221">
        <v>1</v>
      </c>
      <c r="J24" s="222">
        <f t="shared" si="1"/>
        <v>2500</v>
      </c>
      <c r="K24" s="223">
        <f t="shared" si="2"/>
        <v>16</v>
      </c>
      <c r="L24" s="218">
        <f t="shared" si="11"/>
        <v>40053</v>
      </c>
      <c r="M24" s="219">
        <f t="shared" si="3"/>
        <v>8.403361344537815</v>
      </c>
      <c r="N24" s="224">
        <v>301.5</v>
      </c>
      <c r="O24" s="221">
        <v>1</v>
      </c>
      <c r="P24" s="222">
        <f t="shared" si="4"/>
        <v>2533.6134453781515</v>
      </c>
      <c r="Q24" s="223">
        <f t="shared" si="5"/>
        <v>16.084033613445378</v>
      </c>
      <c r="R24" s="225">
        <f t="shared" si="6"/>
        <v>91</v>
      </c>
      <c r="S24" s="226">
        <f t="shared" si="7"/>
        <v>1.3445378151260678</v>
      </c>
      <c r="T24" s="227">
        <f t="shared" si="8"/>
        <v>5.392926401329798</v>
      </c>
      <c r="U24" s="228">
        <f t="shared" si="9"/>
        <v>0.36937852063902726</v>
      </c>
      <c r="V24" s="229">
        <f t="shared" si="10"/>
        <v>0.01680672268907807</v>
      </c>
      <c r="W24" s="217"/>
      <c r="X24" s="230"/>
      <c r="Y24" s="231"/>
    </row>
    <row r="25" spans="1:25" ht="18">
      <c r="A25" s="156"/>
      <c r="C25" s="326">
        <v>13</v>
      </c>
      <c r="D25" s="232" t="s">
        <v>104</v>
      </c>
      <c r="E25" s="233">
        <f>+S25+SUM(Vendu!S51:S53)</f>
        <v>38.22601864510477</v>
      </c>
      <c r="F25" s="218">
        <v>39933</v>
      </c>
      <c r="G25" s="219">
        <f t="shared" si="0"/>
        <v>10.125556905629809</v>
      </c>
      <c r="H25" s="220">
        <v>246.9</v>
      </c>
      <c r="I25" s="221">
        <v>1</v>
      </c>
      <c r="J25" s="222">
        <f t="shared" si="1"/>
        <v>2500</v>
      </c>
      <c r="K25" s="223">
        <f t="shared" si="2"/>
        <v>16</v>
      </c>
      <c r="L25" s="218">
        <f t="shared" si="11"/>
        <v>40053</v>
      </c>
      <c r="M25" s="219">
        <f t="shared" si="3"/>
        <v>10.125556905629809</v>
      </c>
      <c r="N25" s="224">
        <v>293.17</v>
      </c>
      <c r="O25" s="221">
        <v>1</v>
      </c>
      <c r="P25" s="222">
        <f t="shared" si="4"/>
        <v>2968.509518023491</v>
      </c>
      <c r="Q25" s="223">
        <f t="shared" si="5"/>
        <v>17.171273795058728</v>
      </c>
      <c r="R25" s="225">
        <f t="shared" si="6"/>
        <v>120</v>
      </c>
      <c r="S25" s="226">
        <f t="shared" si="7"/>
        <v>18.74038072093964</v>
      </c>
      <c r="T25" s="227">
        <f t="shared" si="8"/>
        <v>57.00199135952476</v>
      </c>
      <c r="U25" s="228">
        <f t="shared" si="9"/>
        <v>3.9042459835290932</v>
      </c>
      <c r="V25" s="229">
        <f t="shared" si="10"/>
        <v>3.627818701903604</v>
      </c>
      <c r="W25" s="217"/>
      <c r="X25" s="230"/>
      <c r="Y25" s="231"/>
    </row>
    <row r="26" spans="1:25" ht="18">
      <c r="A26" s="156"/>
      <c r="C26" s="326">
        <v>14</v>
      </c>
      <c r="D26" s="232" t="s">
        <v>105</v>
      </c>
      <c r="E26" s="233">
        <f>+S26+SUM(Vendu!S54:S57)</f>
        <v>46.85872066267834</v>
      </c>
      <c r="F26" s="218">
        <v>39927</v>
      </c>
      <c r="G26" s="219">
        <f t="shared" si="0"/>
        <v>12.195121951219512</v>
      </c>
      <c r="H26" s="220">
        <v>205</v>
      </c>
      <c r="I26" s="221">
        <v>1</v>
      </c>
      <c r="J26" s="222">
        <f t="shared" si="1"/>
        <v>2500</v>
      </c>
      <c r="K26" s="223">
        <f t="shared" si="2"/>
        <v>16</v>
      </c>
      <c r="L26" s="218">
        <f t="shared" si="11"/>
        <v>40053</v>
      </c>
      <c r="M26" s="219">
        <f t="shared" si="3"/>
        <v>12.195121951219512</v>
      </c>
      <c r="N26" s="224">
        <v>226.1</v>
      </c>
      <c r="O26" s="221">
        <v>1</v>
      </c>
      <c r="P26" s="222">
        <f t="shared" si="4"/>
        <v>2757.317073170732</v>
      </c>
      <c r="Q26" s="223">
        <f t="shared" si="5"/>
        <v>16.64329268292683</v>
      </c>
      <c r="R26" s="225">
        <f t="shared" si="6"/>
        <v>126</v>
      </c>
      <c r="S26" s="226">
        <f t="shared" si="7"/>
        <v>10.292682926829277</v>
      </c>
      <c r="T26" s="227">
        <f t="shared" si="8"/>
        <v>29.816105303910202</v>
      </c>
      <c r="U26" s="228">
        <f t="shared" si="9"/>
        <v>2.042198993418507</v>
      </c>
      <c r="V26" s="229">
        <f t="shared" si="10"/>
        <v>1.7831252419667065</v>
      </c>
      <c r="W26" s="217"/>
      <c r="X26" s="230"/>
      <c r="Y26" s="231"/>
    </row>
    <row r="27" spans="1:25" ht="18">
      <c r="A27" s="156"/>
      <c r="C27" s="326">
        <v>15</v>
      </c>
      <c r="D27" s="232" t="s">
        <v>106</v>
      </c>
      <c r="E27" s="233">
        <f>+S27+SUM(Vendu!S58:S60)</f>
        <v>4.272418173708925</v>
      </c>
      <c r="F27" s="218">
        <v>39920</v>
      </c>
      <c r="G27" s="219">
        <f t="shared" si="0"/>
        <v>14.409221902017292</v>
      </c>
      <c r="H27" s="220">
        <v>173.5</v>
      </c>
      <c r="I27" s="221">
        <v>1</v>
      </c>
      <c r="J27" s="222">
        <f t="shared" si="1"/>
        <v>2500</v>
      </c>
      <c r="K27" s="223">
        <f t="shared" si="2"/>
        <v>16</v>
      </c>
      <c r="L27" s="218">
        <f t="shared" si="11"/>
        <v>40053</v>
      </c>
      <c r="M27" s="219">
        <f t="shared" si="3"/>
        <v>14.409221902017292</v>
      </c>
      <c r="N27" s="224">
        <v>184.58</v>
      </c>
      <c r="O27" s="221">
        <v>1</v>
      </c>
      <c r="P27" s="222">
        <f t="shared" si="4"/>
        <v>2659.654178674352</v>
      </c>
      <c r="Q27" s="223">
        <f t="shared" si="5"/>
        <v>16.39913544668588</v>
      </c>
      <c r="R27" s="225">
        <f t="shared" si="6"/>
        <v>133</v>
      </c>
      <c r="S27" s="226">
        <f t="shared" si="7"/>
        <v>6.386167146974087</v>
      </c>
      <c r="T27" s="227">
        <f t="shared" si="8"/>
        <v>17.52594743342509</v>
      </c>
      <c r="U27" s="228">
        <f t="shared" si="9"/>
        <v>1.2004073584537736</v>
      </c>
      <c r="V27" s="229">
        <f t="shared" si="10"/>
        <v>0.9568048362982408</v>
      </c>
      <c r="W27" s="217"/>
      <c r="X27" s="230"/>
      <c r="Y27" s="231"/>
    </row>
    <row r="28" spans="1:25" ht="18">
      <c r="A28" s="156"/>
      <c r="C28" s="326">
        <v>16</v>
      </c>
      <c r="D28" s="232" t="s">
        <v>107</v>
      </c>
      <c r="E28" s="233">
        <f>+S28+SUM(Vendu!S61:S64)</f>
        <v>35.31361168620211</v>
      </c>
      <c r="F28" s="218">
        <v>40025</v>
      </c>
      <c r="G28" s="219">
        <f t="shared" si="0"/>
        <v>10.561892691170259</v>
      </c>
      <c r="H28" s="220">
        <v>236.7</v>
      </c>
      <c r="I28" s="221">
        <v>1</v>
      </c>
      <c r="J28" s="222">
        <f t="shared" si="1"/>
        <v>2500</v>
      </c>
      <c r="K28" s="223">
        <f t="shared" si="2"/>
        <v>16</v>
      </c>
      <c r="L28" s="218">
        <f t="shared" si="11"/>
        <v>40053</v>
      </c>
      <c r="M28" s="219">
        <f t="shared" si="3"/>
        <v>10.561892691170259</v>
      </c>
      <c r="N28" s="224">
        <v>245</v>
      </c>
      <c r="O28" s="221">
        <v>1</v>
      </c>
      <c r="P28" s="222">
        <f t="shared" si="4"/>
        <v>2587.6637093367135</v>
      </c>
      <c r="Q28" s="223">
        <f t="shared" si="5"/>
        <v>16.219159273341784</v>
      </c>
      <c r="R28" s="225">
        <f t="shared" si="6"/>
        <v>28</v>
      </c>
      <c r="S28" s="226">
        <f t="shared" si="7"/>
        <v>3.506548373468532</v>
      </c>
      <c r="T28" s="227">
        <f t="shared" si="8"/>
        <v>45.71036272557204</v>
      </c>
      <c r="U28" s="228">
        <f t="shared" si="9"/>
        <v>3.1308467620254823</v>
      </c>
      <c r="V28" s="229">
        <f t="shared" si="10"/>
        <v>1.9801625022632758</v>
      </c>
      <c r="W28" s="217"/>
      <c r="X28" s="230"/>
      <c r="Y28" s="231"/>
    </row>
    <row r="29" spans="1:25" ht="18">
      <c r="A29" s="156"/>
      <c r="C29" s="326">
        <v>17</v>
      </c>
      <c r="D29" s="232" t="s">
        <v>108</v>
      </c>
      <c r="E29" s="233">
        <f>+S29+SUM(Vendu!S64:S66)</f>
        <v>26.613557946011767</v>
      </c>
      <c r="F29" s="218">
        <v>39969</v>
      </c>
      <c r="G29" s="219">
        <f t="shared" si="0"/>
        <v>25.370407956159934</v>
      </c>
      <c r="H29" s="220">
        <v>98.54</v>
      </c>
      <c r="I29" s="221">
        <v>1</v>
      </c>
      <c r="J29" s="222">
        <f t="shared" si="1"/>
        <v>2500</v>
      </c>
      <c r="K29" s="223">
        <f t="shared" si="2"/>
        <v>16</v>
      </c>
      <c r="L29" s="218">
        <f t="shared" si="11"/>
        <v>40053</v>
      </c>
      <c r="M29" s="219">
        <f t="shared" si="3"/>
        <v>25.370407956159934</v>
      </c>
      <c r="N29" s="224">
        <v>100.13</v>
      </c>
      <c r="O29" s="221">
        <v>1</v>
      </c>
      <c r="P29" s="222">
        <f t="shared" si="4"/>
        <v>2540.3389486502942</v>
      </c>
      <c r="Q29" s="223">
        <f t="shared" si="5"/>
        <v>16.100847371625736</v>
      </c>
      <c r="R29" s="225">
        <f t="shared" si="6"/>
        <v>84</v>
      </c>
      <c r="S29" s="226">
        <f t="shared" si="7"/>
        <v>1.6135579460117677</v>
      </c>
      <c r="T29" s="227">
        <f t="shared" si="8"/>
        <v>7.011293455884475</v>
      </c>
      <c r="U29" s="228">
        <f t="shared" si="9"/>
        <v>0.48022557917016956</v>
      </c>
      <c r="V29" s="229">
        <f t="shared" si="10"/>
        <v>0.09807263426986317</v>
      </c>
      <c r="W29" s="217"/>
      <c r="X29" s="230"/>
      <c r="Y29" s="231"/>
    </row>
    <row r="30" spans="1:25" ht="18">
      <c r="A30" s="156"/>
      <c r="C30" s="326">
        <v>18</v>
      </c>
      <c r="D30" s="232" t="s">
        <v>109</v>
      </c>
      <c r="E30" s="233">
        <f>+S30+SUM(Vendu!S67:S69)</f>
        <v>56.58884879815154</v>
      </c>
      <c r="F30" s="218">
        <v>40039</v>
      </c>
      <c r="G30" s="219">
        <f t="shared" si="0"/>
        <v>7.979572294924992</v>
      </c>
      <c r="H30" s="220">
        <v>313.3</v>
      </c>
      <c r="I30" s="221">
        <v>1</v>
      </c>
      <c r="J30" s="222">
        <f t="shared" si="1"/>
        <v>2500</v>
      </c>
      <c r="K30" s="223">
        <f t="shared" si="2"/>
        <v>16</v>
      </c>
      <c r="L30" s="218">
        <f t="shared" si="11"/>
        <v>40053</v>
      </c>
      <c r="M30" s="219">
        <f t="shared" si="3"/>
        <v>7.979572294924992</v>
      </c>
      <c r="N30" s="224">
        <v>333</v>
      </c>
      <c r="O30" s="221">
        <v>1</v>
      </c>
      <c r="P30" s="222">
        <f t="shared" si="4"/>
        <v>2657.197574210022</v>
      </c>
      <c r="Q30" s="223">
        <f t="shared" si="5"/>
        <v>16.392993935525055</v>
      </c>
      <c r="R30" s="225">
        <f t="shared" si="6"/>
        <v>14</v>
      </c>
      <c r="S30" s="226">
        <f t="shared" si="7"/>
        <v>6.287902968400894</v>
      </c>
      <c r="T30" s="227">
        <f t="shared" si="8"/>
        <v>163.93461310473737</v>
      </c>
      <c r="U30" s="228">
        <f t="shared" si="9"/>
        <v>11.228398157858724</v>
      </c>
      <c r="V30" s="229">
        <f t="shared" si="10"/>
        <v>8.914612876749791</v>
      </c>
      <c r="W30" s="217"/>
      <c r="X30" s="230"/>
      <c r="Y30" s="231"/>
    </row>
    <row r="31" spans="1:25" ht="18">
      <c r="A31" s="156"/>
      <c r="C31" s="235"/>
      <c r="D31" s="236" t="s">
        <v>110</v>
      </c>
      <c r="E31" s="237">
        <f>AVERAGE(E13:E30)</f>
        <v>32.90668644385346</v>
      </c>
      <c r="F31" s="218"/>
      <c r="G31" s="219"/>
      <c r="H31" s="220"/>
      <c r="I31" s="221"/>
      <c r="J31" s="222"/>
      <c r="K31" s="223"/>
      <c r="L31" s="218"/>
      <c r="M31" s="219"/>
      <c r="N31" s="224"/>
      <c r="O31" s="221"/>
      <c r="P31" s="222"/>
      <c r="Q31" s="223"/>
      <c r="R31" s="225"/>
      <c r="S31" s="226"/>
      <c r="T31" s="227"/>
      <c r="U31" s="228"/>
      <c r="V31" s="229"/>
      <c r="W31" s="239"/>
      <c r="X31" s="240"/>
      <c r="Y31" s="241"/>
    </row>
    <row r="32" ht="12.75"/>
    <row r="33" ht="12.75"/>
    <row r="34" spans="4:22" ht="12.75">
      <c r="D34" t="s">
        <v>182</v>
      </c>
      <c r="F34" s="218">
        <v>38723</v>
      </c>
      <c r="G34" s="219">
        <f>+$I$11/H34</f>
        <v>9.433962264150944</v>
      </c>
      <c r="H34" s="224">
        <v>265</v>
      </c>
      <c r="I34" s="221">
        <v>1</v>
      </c>
      <c r="J34" s="222">
        <f>+G34*H34/I34</f>
        <v>2500</v>
      </c>
      <c r="K34" s="223">
        <f>+($P$11+$L$11*J34)</f>
        <v>16</v>
      </c>
      <c r="L34" s="218">
        <v>39241</v>
      </c>
      <c r="M34" s="219">
        <f>+G34</f>
        <v>9.433962264150944</v>
      </c>
      <c r="N34" s="224">
        <v>361.9</v>
      </c>
      <c r="O34" s="221">
        <v>1</v>
      </c>
      <c r="P34" s="222">
        <f>+M34*N34/+O34</f>
        <v>3414.1509433962265</v>
      </c>
      <c r="Q34" s="223">
        <f>+$P$11+$L$11*P34</f>
        <v>18.285377358490564</v>
      </c>
      <c r="R34" s="225">
        <f>+L34-F34</f>
        <v>518</v>
      </c>
      <c r="S34" s="226">
        <f>100*(P34/J34-1)</f>
        <v>36.56603773584906</v>
      </c>
      <c r="T34" s="227">
        <f>(+U34/J34)*365*100</f>
        <v>25.765644350550016</v>
      </c>
      <c r="U34" s="228">
        <f>IF(R34&lt;5,0,(+P34-J34)/R34)</f>
        <v>1.7647701609965762</v>
      </c>
      <c r="V34" s="229">
        <f>IF(R34&lt;5,0,(+P34-J34-K34-Q34)/R34)</f>
        <v>1.698582173818023</v>
      </c>
    </row>
    <row r="35" spans="6:22" ht="12.75">
      <c r="F35" s="218">
        <v>38982</v>
      </c>
      <c r="G35" s="219" t="e">
        <f>+$I$11/H35</f>
        <v>#DIV/0!</v>
      </c>
      <c r="H35" s="224"/>
      <c r="I35" s="221">
        <v>1</v>
      </c>
      <c r="J35" s="222" t="e">
        <f>+G35*H35/I35</f>
        <v>#DIV/0!</v>
      </c>
      <c r="K35" s="223" t="e">
        <f>+($P$11+$L$11*J35)</f>
        <v>#DIV/0!</v>
      </c>
      <c r="L35" s="218">
        <v>39204</v>
      </c>
      <c r="M35" s="219" t="e">
        <f>+G35</f>
        <v>#DIV/0!</v>
      </c>
      <c r="N35" s="224"/>
      <c r="O35" s="221">
        <v>1</v>
      </c>
      <c r="P35" s="222" t="e">
        <f>+M35*N35/+O35</f>
        <v>#DIV/0!</v>
      </c>
      <c r="Q35" s="223" t="e">
        <f>+$P$11+$L$11*P35</f>
        <v>#DIV/0!</v>
      </c>
      <c r="R35" s="225">
        <f>+L35-F35</f>
        <v>222</v>
      </c>
      <c r="S35" s="226" t="e">
        <f>100*(P35/J35-1)</f>
        <v>#DIV/0!</v>
      </c>
      <c r="T35" s="227" t="e">
        <f>(+U35/J35)*365*100</f>
        <v>#DIV/0!</v>
      </c>
      <c r="U35" s="228" t="e">
        <f>IF(R35&lt;5,0,(+P35-J35)/R35)</f>
        <v>#DIV/0!</v>
      </c>
      <c r="V35" s="229" t="e">
        <f>IF(R35&lt;5,0,(+P35-J35-K35-Q35)/R35)</f>
        <v>#DIV/0!</v>
      </c>
    </row>
    <row r="36" spans="6:22" ht="12.75">
      <c r="F36" s="218"/>
      <c r="G36" s="219"/>
      <c r="H36" s="220"/>
      <c r="I36" s="221"/>
      <c r="J36" s="222"/>
      <c r="K36" s="223"/>
      <c r="L36" s="218"/>
      <c r="M36" s="219"/>
      <c r="N36" s="224"/>
      <c r="O36" s="221"/>
      <c r="P36" s="222"/>
      <c r="Q36" s="223"/>
      <c r="R36" s="225"/>
      <c r="S36" s="226"/>
      <c r="T36" s="227"/>
      <c r="U36" s="228"/>
      <c r="V36" s="229"/>
    </row>
    <row r="39" ht="12.75"/>
    <row r="40" ht="12.75"/>
    <row r="41" ht="12.75"/>
  </sheetData>
  <sheetProtection selectLockedCells="1" selectUnlockedCells="1"/>
  <mergeCells count="46">
    <mergeCell ref="D8:Y8"/>
    <mergeCell ref="C9:C10"/>
    <mergeCell ref="D9:D10"/>
    <mergeCell ref="E9:E10"/>
    <mergeCell ref="F9:K9"/>
    <mergeCell ref="L9:Q9"/>
    <mergeCell ref="R9:V9"/>
    <mergeCell ref="X9:Y9"/>
    <mergeCell ref="X10:Y10"/>
    <mergeCell ref="B1:C8"/>
    <mergeCell ref="W5:X5"/>
    <mergeCell ref="F6:H7"/>
    <mergeCell ref="I6:J6"/>
    <mergeCell ref="O6:P7"/>
    <mergeCell ref="Q6:R7"/>
    <mergeCell ref="S6:V7"/>
    <mergeCell ref="W6:X6"/>
    <mergeCell ref="I7:J7"/>
    <mergeCell ref="W7:X7"/>
    <mergeCell ref="U4:U5"/>
    <mergeCell ref="V4:V5"/>
    <mergeCell ref="G5:H5"/>
    <mergeCell ref="I5:J5"/>
    <mergeCell ref="O5:P5"/>
    <mergeCell ref="Q5:R5"/>
    <mergeCell ref="S5:T5"/>
    <mergeCell ref="S3:T3"/>
    <mergeCell ref="W3:X3"/>
    <mergeCell ref="D4:D5"/>
    <mergeCell ref="G4:H4"/>
    <mergeCell ref="I4:J4"/>
    <mergeCell ref="K4:K5"/>
    <mergeCell ref="L4:N5"/>
    <mergeCell ref="O4:P4"/>
    <mergeCell ref="Q4:R4"/>
    <mergeCell ref="S4:T4"/>
    <mergeCell ref="D1:Y1"/>
    <mergeCell ref="G2:K2"/>
    <mergeCell ref="L2:N2"/>
    <mergeCell ref="O2:T2"/>
    <mergeCell ref="U2:U3"/>
    <mergeCell ref="V2:V3"/>
    <mergeCell ref="W2:Y2"/>
    <mergeCell ref="L3:N3"/>
    <mergeCell ref="O3:P3"/>
    <mergeCell ref="Q3:R3"/>
  </mergeCells>
  <printOptions gridLines="1"/>
  <pageMargins left="0.19652777777777777" right="0.39375" top="0.19027777777777777" bottom="0.15763888888888888" header="0.15763888888888888" footer="0.5118055555555555"/>
  <pageSetup horizontalDpi="300" verticalDpi="300" orientation="landscape" paperSize="9" r:id="rId3"/>
  <headerFooter alignWithMargins="0">
    <oddHeader>&amp;L&amp;F&amp;C&amp;A&amp;RWG_&amp;D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1"/>
  <sheetViews>
    <sheetView zoomScale="130" zoomScaleNormal="130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4" sqref="A114"/>
      <selection pane="bottomRight" activeCell="F65" sqref="F65:V65"/>
    </sheetView>
  </sheetViews>
  <sheetFormatPr defaultColWidth="11.421875" defaultRowHeight="12.75" outlineLevelRow="1" outlineLevelCol="1"/>
  <cols>
    <col min="1" max="1" width="0.85546875" style="0" customWidth="1"/>
    <col min="2" max="2" width="3.8515625" style="0" customWidth="1"/>
    <col min="3" max="3" width="5.140625" style="0" customWidth="1"/>
    <col min="4" max="4" width="11.28125" style="0" customWidth="1"/>
    <col min="5" max="5" width="4.140625" style="0" customWidth="1"/>
    <col min="6" max="6" width="9.421875" style="0" customWidth="1"/>
    <col min="7" max="7" width="3.8515625" style="0" customWidth="1"/>
    <col min="8" max="9" width="4.7109375" style="0" customWidth="1"/>
    <col min="10" max="10" width="7.57421875" style="0" customWidth="1"/>
    <col min="11" max="11" width="5.7109375" style="0" customWidth="1"/>
    <col min="12" max="12" width="9.00390625" style="0" customWidth="1" outlineLevel="1"/>
    <col min="13" max="13" width="4.57421875" style="0" customWidth="1" outlineLevel="1"/>
    <col min="14" max="14" width="6.8515625" style="0" customWidth="1"/>
    <col min="15" max="15" width="5.7109375" style="0" customWidth="1"/>
    <col min="16" max="16" width="7.7109375" style="0" customWidth="1"/>
    <col min="17" max="18" width="5.7109375" style="0" customWidth="1"/>
    <col min="19" max="19" width="7.57421875" style="0" customWidth="1"/>
    <col min="20" max="20" width="7.00390625" style="0" customWidth="1"/>
    <col min="21" max="21" width="5.00390625" style="0" customWidth="1"/>
    <col min="22" max="22" width="4.8515625" style="0" customWidth="1"/>
    <col min="23" max="23" width="4.28125" style="0" customWidth="1"/>
    <col min="24" max="24" width="6.7109375" style="0" customWidth="1"/>
    <col min="25" max="25" width="5.8515625" style="0" customWidth="1"/>
  </cols>
  <sheetData>
    <row r="1" spans="2:25" ht="19.5" customHeight="1" outlineLevel="1">
      <c r="B1" s="367">
        <f>+CX_jour!B1</f>
        <v>40053</v>
      </c>
      <c r="C1" s="367"/>
      <c r="D1" s="374" t="s">
        <v>165</v>
      </c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261"/>
    </row>
    <row r="2" spans="2:25" ht="18" outlineLevel="1">
      <c r="B2" s="367"/>
      <c r="C2" s="367"/>
      <c r="D2" s="375" t="s">
        <v>117</v>
      </c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262"/>
    </row>
    <row r="3" spans="2:25" ht="13.5" customHeight="1" outlineLevel="1">
      <c r="B3" s="367"/>
      <c r="C3" s="367"/>
      <c r="D3" s="263" t="s">
        <v>59</v>
      </c>
      <c r="E3" s="264" t="s">
        <v>87</v>
      </c>
      <c r="F3" s="161" t="s">
        <v>28</v>
      </c>
      <c r="G3" s="368" t="s">
        <v>60</v>
      </c>
      <c r="H3" s="368"/>
      <c r="I3" s="368"/>
      <c r="J3" s="368"/>
      <c r="K3" s="368"/>
      <c r="L3" s="381" t="s">
        <v>118</v>
      </c>
      <c r="M3" s="381"/>
      <c r="N3" s="381"/>
      <c r="O3" s="381"/>
      <c r="P3" s="458" t="s">
        <v>62</v>
      </c>
      <c r="Q3" s="458"/>
      <c r="R3" s="458"/>
      <c r="S3" s="458"/>
      <c r="T3" s="458"/>
      <c r="U3" s="459" t="s">
        <v>63</v>
      </c>
      <c r="V3" s="459" t="s">
        <v>63</v>
      </c>
      <c r="W3" s="460" t="s">
        <v>119</v>
      </c>
      <c r="X3" s="460"/>
      <c r="Y3" s="265" t="s">
        <v>15</v>
      </c>
    </row>
    <row r="4" spans="2:25" ht="15.75" outlineLevel="1">
      <c r="B4" s="367"/>
      <c r="C4" s="367"/>
      <c r="D4" s="263" t="s">
        <v>120</v>
      </c>
      <c r="E4" s="266" t="s">
        <v>121</v>
      </c>
      <c r="F4" s="267" t="s">
        <v>27</v>
      </c>
      <c r="G4" s="268"/>
      <c r="H4" s="269"/>
      <c r="I4" s="461" t="s">
        <v>27</v>
      </c>
      <c r="J4" s="461"/>
      <c r="K4" s="270" t="s">
        <v>122</v>
      </c>
      <c r="L4" s="271"/>
      <c r="M4" s="272"/>
      <c r="N4" s="273" t="s">
        <v>85</v>
      </c>
      <c r="O4" s="274"/>
      <c r="P4" s="462" t="s">
        <v>27</v>
      </c>
      <c r="Q4" s="462"/>
      <c r="R4" s="463" t="s">
        <v>123</v>
      </c>
      <c r="S4" s="463"/>
      <c r="T4" s="275" t="s">
        <v>89</v>
      </c>
      <c r="U4" s="459"/>
      <c r="V4" s="459"/>
      <c r="W4" s="464" t="s">
        <v>68</v>
      </c>
      <c r="X4" s="464"/>
      <c r="Y4" s="166" t="s">
        <v>124</v>
      </c>
    </row>
    <row r="5" spans="2:25" ht="15.75" outlineLevel="1">
      <c r="B5" s="367"/>
      <c r="C5" s="367"/>
      <c r="D5" s="384">
        <f>COUNT(G12:G70)</f>
        <v>26</v>
      </c>
      <c r="E5" s="360">
        <f>+(SUM(R12:R70))/D5</f>
        <v>394.2307692307692</v>
      </c>
      <c r="F5" s="276">
        <f>+X10/$L$5</f>
        <v>0</v>
      </c>
      <c r="G5" s="361" t="s">
        <v>47</v>
      </c>
      <c r="H5" s="361"/>
      <c r="I5" s="465">
        <f>SUM(J12:J70)</f>
        <v>65000</v>
      </c>
      <c r="J5" s="465"/>
      <c r="K5" s="466">
        <f>SUM(K12:K70)</f>
        <v>416</v>
      </c>
      <c r="L5" s="376">
        <f>SUM(P12:P70)</f>
        <v>74380.77769420351</v>
      </c>
      <c r="M5" s="376"/>
      <c r="N5" s="377">
        <f>SUM(Q12:Q70)</f>
        <v>439.4519442355088</v>
      </c>
      <c r="O5" s="377" t="e">
        <f>SUM(#REF!)+#REF!</f>
        <v>#REF!</v>
      </c>
      <c r="P5" s="465">
        <f>+L5-I5</f>
        <v>9380.777694203513</v>
      </c>
      <c r="Q5" s="465"/>
      <c r="R5" s="467">
        <f>+(L5-I5)/I5*100</f>
        <v>14.431965683390018</v>
      </c>
      <c r="S5" s="467"/>
      <c r="T5" s="277">
        <f>(+U5/I5)*365*100</f>
        <v>13.880813678024955</v>
      </c>
      <c r="U5" s="468">
        <f>SUM(U12:U70)</f>
        <v>24.719257234838963</v>
      </c>
      <c r="V5" s="469">
        <f>SUM(V12:V70)</f>
        <v>20.246328103239335</v>
      </c>
      <c r="W5" s="278">
        <f>COUNTIF(S12:S70,"&gt;=0")</f>
        <v>20</v>
      </c>
      <c r="X5" s="279">
        <f>+D5-W5</f>
        <v>6</v>
      </c>
      <c r="Y5" s="168"/>
    </row>
    <row r="6" spans="2:25" ht="15.75" outlineLevel="1">
      <c r="B6" s="367"/>
      <c r="C6" s="367"/>
      <c r="D6" s="384"/>
      <c r="E6" s="360"/>
      <c r="F6" s="276">
        <f>(L5-X10)/$L$5</f>
        <v>1</v>
      </c>
      <c r="G6" s="372" t="s">
        <v>125</v>
      </c>
      <c r="H6" s="372"/>
      <c r="I6" s="373">
        <f>+I5+K5</f>
        <v>65416</v>
      </c>
      <c r="J6" s="373"/>
      <c r="K6" s="466"/>
      <c r="L6" s="373">
        <f>+L5-N5</f>
        <v>73941.325749968</v>
      </c>
      <c r="M6" s="373"/>
      <c r="N6" s="377"/>
      <c r="O6" s="377"/>
      <c r="P6" s="373">
        <f>+L6-I6</f>
        <v>8525.325749968004</v>
      </c>
      <c r="Q6" s="373"/>
      <c r="R6" s="470">
        <f>+(L6-I6)/I6*100</f>
        <v>13.032477910554</v>
      </c>
      <c r="S6" s="470"/>
      <c r="T6" s="280">
        <f>(+V5/I5)*365*100</f>
        <v>11.369091934895934</v>
      </c>
      <c r="U6" s="468" t="e">
        <f>SUM(#REF!)+#REF!</f>
        <v>#REF!</v>
      </c>
      <c r="V6" s="469" t="e">
        <f>SUM(#REF!)+#REF!</f>
        <v>#REF!</v>
      </c>
      <c r="W6" s="471">
        <f>+W5/D5</f>
        <v>0.7692307692307693</v>
      </c>
      <c r="X6" s="471"/>
      <c r="Y6" s="281">
        <f>SUM(R12:R70)</f>
        <v>10250</v>
      </c>
    </row>
    <row r="7" spans="2:25" ht="15.75" outlineLevel="1">
      <c r="B7" s="367"/>
      <c r="C7" s="367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472" t="s">
        <v>126</v>
      </c>
      <c r="Q7" s="472"/>
      <c r="R7" s="473">
        <f>+SUM(W11:W67)/I5</f>
        <v>0</v>
      </c>
      <c r="S7" s="473"/>
      <c r="T7" s="474"/>
      <c r="U7" s="474"/>
      <c r="V7" s="474"/>
      <c r="W7" s="474"/>
      <c r="X7" s="474"/>
      <c r="Y7" s="282"/>
    </row>
    <row r="8" spans="2:25" ht="19.5" customHeight="1">
      <c r="B8" s="367"/>
      <c r="C8" s="367"/>
      <c r="D8" s="370" t="s">
        <v>78</v>
      </c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283"/>
    </row>
    <row r="9" spans="2:25" ht="19.5" customHeight="1">
      <c r="B9" s="362"/>
      <c r="C9" s="363" t="s">
        <v>79</v>
      </c>
      <c r="D9" s="477" t="s">
        <v>127</v>
      </c>
      <c r="E9" s="478" t="s">
        <v>71</v>
      </c>
      <c r="F9" s="366" t="s">
        <v>60</v>
      </c>
      <c r="G9" s="366"/>
      <c r="H9" s="366"/>
      <c r="I9" s="366"/>
      <c r="J9" s="366"/>
      <c r="K9" s="366"/>
      <c r="L9" s="383" t="s">
        <v>128</v>
      </c>
      <c r="M9" s="383"/>
      <c r="N9" s="383"/>
      <c r="O9" s="383"/>
      <c r="P9" s="383"/>
      <c r="Q9" s="383"/>
      <c r="R9" s="475" t="s">
        <v>62</v>
      </c>
      <c r="S9" s="475"/>
      <c r="T9" s="475"/>
      <c r="U9" s="475"/>
      <c r="V9" s="475"/>
      <c r="W9" s="284"/>
      <c r="X9" s="285" t="s">
        <v>129</v>
      </c>
      <c r="Y9" s="286"/>
    </row>
    <row r="10" spans="2:25" ht="19.5" customHeight="1" thickBot="1">
      <c r="B10" s="362"/>
      <c r="C10" s="363"/>
      <c r="D10" s="477"/>
      <c r="E10" s="478"/>
      <c r="F10" s="122" t="s">
        <v>81</v>
      </c>
      <c r="G10" s="287" t="s">
        <v>82</v>
      </c>
      <c r="H10" s="287" t="s">
        <v>83</v>
      </c>
      <c r="I10" s="288" t="s">
        <v>77</v>
      </c>
      <c r="J10" s="289" t="s">
        <v>84</v>
      </c>
      <c r="K10" s="290" t="s">
        <v>122</v>
      </c>
      <c r="L10" s="291" t="s">
        <v>81</v>
      </c>
      <c r="M10" s="292" t="s">
        <v>82</v>
      </c>
      <c r="N10" s="292" t="s">
        <v>86</v>
      </c>
      <c r="O10" s="293" t="s">
        <v>77</v>
      </c>
      <c r="P10" s="294" t="s">
        <v>84</v>
      </c>
      <c r="Q10" s="295" t="s">
        <v>85</v>
      </c>
      <c r="R10" s="187" t="s">
        <v>87</v>
      </c>
      <c r="S10" s="188" t="s">
        <v>88</v>
      </c>
      <c r="T10" s="189" t="s">
        <v>89</v>
      </c>
      <c r="U10" s="190" t="s">
        <v>90</v>
      </c>
      <c r="V10" s="296" t="s">
        <v>90</v>
      </c>
      <c r="W10" s="297"/>
      <c r="X10" s="476">
        <f>SUM(X12:X70)</f>
        <v>0</v>
      </c>
      <c r="Y10" s="476"/>
    </row>
    <row r="11" spans="2:25" s="298" customFormat="1" ht="14.25" customHeight="1" outlineLevel="1">
      <c r="B11" s="299"/>
      <c r="C11" s="300"/>
      <c r="D11" s="301"/>
      <c r="E11" s="300"/>
      <c r="F11" s="218"/>
      <c r="G11" s="219"/>
      <c r="H11" s="220"/>
      <c r="I11" s="221"/>
      <c r="J11" s="222"/>
      <c r="K11" s="223"/>
      <c r="L11" s="218"/>
      <c r="M11" s="219"/>
      <c r="N11" s="224"/>
      <c r="O11" s="221"/>
      <c r="P11" s="222"/>
      <c r="Q11" s="223"/>
      <c r="R11" s="225"/>
      <c r="S11" s="226"/>
      <c r="T11" s="227"/>
      <c r="U11" s="228"/>
      <c r="V11" s="229"/>
      <c r="W11" s="308"/>
      <c r="X11" s="309"/>
      <c r="Y11" s="310"/>
    </row>
    <row r="12" spans="2:25" s="298" customFormat="1" ht="14.25" customHeight="1" outlineLevel="1">
      <c r="B12" s="311"/>
      <c r="C12" s="300"/>
      <c r="D12" s="300"/>
      <c r="E12" s="300"/>
      <c r="F12" s="300"/>
      <c r="G12" s="300"/>
      <c r="H12" s="312"/>
      <c r="I12" s="311"/>
      <c r="J12" s="300"/>
      <c r="K12" s="300"/>
      <c r="L12" s="313"/>
      <c r="M12" s="314"/>
      <c r="N12" s="300"/>
      <c r="O12" s="312"/>
      <c r="P12" s="312"/>
      <c r="Q12" s="312"/>
      <c r="R12" s="300"/>
      <c r="S12" s="300"/>
      <c r="T12" s="312"/>
      <c r="U12" s="311"/>
      <c r="V12" s="312"/>
      <c r="W12" s="315"/>
      <c r="X12" s="310"/>
      <c r="Y12" s="310"/>
    </row>
    <row r="13" spans="1:25" ht="12.75">
      <c r="A13" s="156"/>
      <c r="B13" s="316"/>
      <c r="C13" s="242">
        <v>1</v>
      </c>
      <c r="D13" s="317" t="s">
        <v>130</v>
      </c>
      <c r="E13" s="318"/>
      <c r="F13" s="320">
        <v>38723</v>
      </c>
      <c r="G13" s="219">
        <v>10.37344398340249</v>
      </c>
      <c r="H13" s="220">
        <v>241</v>
      </c>
      <c r="I13" s="221">
        <v>1</v>
      </c>
      <c r="J13" s="238">
        <v>2500</v>
      </c>
      <c r="K13" s="321">
        <v>16</v>
      </c>
      <c r="L13" s="320">
        <v>38856</v>
      </c>
      <c r="M13" s="219">
        <v>10.37344398340249</v>
      </c>
      <c r="N13" s="224">
        <v>247</v>
      </c>
      <c r="O13" s="221">
        <v>1</v>
      </c>
      <c r="P13" s="238">
        <v>2562.2406639004153</v>
      </c>
      <c r="Q13" s="321">
        <v>16.15560165975104</v>
      </c>
      <c r="R13" s="225">
        <v>133</v>
      </c>
      <c r="S13" s="226">
        <v>2.489626556016611</v>
      </c>
      <c r="T13" s="227">
        <v>6.832433781549343</v>
      </c>
      <c r="U13" s="228">
        <v>0.4679749165444756</v>
      </c>
      <c r="V13" s="229">
        <v>0.22620347549371592</v>
      </c>
      <c r="W13" s="319"/>
      <c r="X13" s="230"/>
      <c r="Y13" s="231"/>
    </row>
    <row r="14" spans="1:25" ht="12.75">
      <c r="A14" s="156"/>
      <c r="B14" s="316"/>
      <c r="C14" s="242">
        <v>1</v>
      </c>
      <c r="D14" s="317" t="s">
        <v>130</v>
      </c>
      <c r="E14" s="318"/>
      <c r="F14" s="218">
        <v>39003</v>
      </c>
      <c r="G14" s="219">
        <v>9.469696969696969</v>
      </c>
      <c r="H14" s="220">
        <v>264</v>
      </c>
      <c r="I14" s="221">
        <v>1</v>
      </c>
      <c r="J14" s="222">
        <v>2500</v>
      </c>
      <c r="K14" s="223">
        <v>16</v>
      </c>
      <c r="L14" s="218">
        <v>39399</v>
      </c>
      <c r="M14" s="219">
        <v>9.469696969696969</v>
      </c>
      <c r="N14" s="224">
        <v>385.3</v>
      </c>
      <c r="O14" s="221">
        <v>1</v>
      </c>
      <c r="P14" s="222">
        <v>3648.674242424242</v>
      </c>
      <c r="Q14" s="223">
        <v>18.871685606060606</v>
      </c>
      <c r="R14" s="225">
        <v>396</v>
      </c>
      <c r="S14" s="226">
        <v>45.946969696969674</v>
      </c>
      <c r="T14" s="227">
        <v>42.35011095806549</v>
      </c>
      <c r="U14" s="228">
        <v>2.900692531374349</v>
      </c>
      <c r="V14" s="229">
        <v>2.812632719237832</v>
      </c>
      <c r="W14" s="319"/>
      <c r="X14" s="230"/>
      <c r="Y14" s="231"/>
    </row>
    <row r="15" spans="1:25" ht="12.75">
      <c r="A15" s="156"/>
      <c r="B15" s="316"/>
      <c r="C15" s="242">
        <v>1</v>
      </c>
      <c r="D15" s="317" t="s">
        <v>130</v>
      </c>
      <c r="E15" s="318"/>
      <c r="W15" s="319"/>
      <c r="X15" s="230"/>
      <c r="Y15" s="231"/>
    </row>
    <row r="16" spans="1:25" ht="12.75">
      <c r="A16" s="156"/>
      <c r="B16" s="316"/>
      <c r="C16" s="242">
        <v>2</v>
      </c>
      <c r="D16" s="317" t="s">
        <v>131</v>
      </c>
      <c r="E16" s="318"/>
      <c r="F16" s="320">
        <v>38723</v>
      </c>
      <c r="G16" s="219">
        <v>5.694760820045558</v>
      </c>
      <c r="H16" s="220">
        <v>439</v>
      </c>
      <c r="I16" s="221">
        <v>1</v>
      </c>
      <c r="J16" s="238">
        <v>2500</v>
      </c>
      <c r="K16" s="321">
        <v>16</v>
      </c>
      <c r="L16" s="320">
        <v>38835</v>
      </c>
      <c r="M16" s="219">
        <v>5.694760820045558</v>
      </c>
      <c r="N16" s="224">
        <v>471.9</v>
      </c>
      <c r="O16" s="221">
        <v>1</v>
      </c>
      <c r="P16" s="238">
        <v>2687.357630979499</v>
      </c>
      <c r="Q16" s="321">
        <v>16.46839407744875</v>
      </c>
      <c r="R16" s="225">
        <v>112</v>
      </c>
      <c r="S16" s="226">
        <v>7.494305239179955</v>
      </c>
      <c r="T16" s="227">
        <v>24.423405466970397</v>
      </c>
      <c r="U16" s="228">
        <v>1.6728359908883834</v>
      </c>
      <c r="V16" s="229">
        <v>1.3829396151968767</v>
      </c>
      <c r="W16" s="319"/>
      <c r="X16" s="230"/>
      <c r="Y16" s="231"/>
    </row>
    <row r="17" spans="1:25" ht="12.75">
      <c r="A17" s="156"/>
      <c r="B17" s="316"/>
      <c r="C17" s="242">
        <v>2</v>
      </c>
      <c r="D17" s="317" t="s">
        <v>131</v>
      </c>
      <c r="E17" s="318"/>
      <c r="F17" s="320">
        <v>38996</v>
      </c>
      <c r="G17" s="219">
        <v>5.020080321285141</v>
      </c>
      <c r="H17" s="220">
        <v>498</v>
      </c>
      <c r="I17" s="221">
        <v>1</v>
      </c>
      <c r="J17" s="238">
        <v>2500</v>
      </c>
      <c r="K17" s="321">
        <v>16</v>
      </c>
      <c r="L17" s="320">
        <v>39157</v>
      </c>
      <c r="M17" s="219">
        <v>5.020080321285141</v>
      </c>
      <c r="N17" s="224">
        <v>487.3</v>
      </c>
      <c r="O17" s="221">
        <v>1</v>
      </c>
      <c r="P17" s="238">
        <v>2446.285140562249</v>
      </c>
      <c r="Q17" s="321">
        <v>15.865712851405622</v>
      </c>
      <c r="R17" s="225">
        <v>161</v>
      </c>
      <c r="S17" s="226">
        <v>-2.148594377510038</v>
      </c>
      <c r="T17" s="227">
        <v>-4.871036942802254</v>
      </c>
      <c r="U17" s="228">
        <v>-0.33363266731522284</v>
      </c>
      <c r="V17" s="229">
        <v>-0.53155634962209</v>
      </c>
      <c r="W17" s="319"/>
      <c r="X17" s="230"/>
      <c r="Y17" s="231"/>
    </row>
    <row r="18" spans="1:25" ht="12.75">
      <c r="A18" s="156"/>
      <c r="B18" s="316"/>
      <c r="C18" s="242">
        <v>2</v>
      </c>
      <c r="D18" s="317" t="s">
        <v>131</v>
      </c>
      <c r="E18" s="318"/>
      <c r="W18" s="319"/>
      <c r="X18" s="230"/>
      <c r="Y18" s="231"/>
    </row>
    <row r="19" spans="1:25" ht="12.75">
      <c r="A19" s="156"/>
      <c r="B19" s="316"/>
      <c r="C19" s="242">
        <v>3</v>
      </c>
      <c r="D19" s="317" t="s">
        <v>132</v>
      </c>
      <c r="E19" s="318"/>
      <c r="F19" s="320">
        <v>38723</v>
      </c>
      <c r="G19" s="219">
        <v>6.011060351045924</v>
      </c>
      <c r="H19" s="220">
        <v>415.9</v>
      </c>
      <c r="I19" s="221">
        <v>1</v>
      </c>
      <c r="J19" s="238">
        <v>2500</v>
      </c>
      <c r="K19" s="321">
        <v>16</v>
      </c>
      <c r="L19" s="320">
        <v>38870</v>
      </c>
      <c r="M19" s="219">
        <v>6.011060351045924</v>
      </c>
      <c r="N19" s="224">
        <v>476.3</v>
      </c>
      <c r="O19" s="221">
        <v>1</v>
      </c>
      <c r="P19" s="238">
        <v>2863.068045203174</v>
      </c>
      <c r="Q19" s="321">
        <v>16.907670113007935</v>
      </c>
      <c r="R19" s="225">
        <v>3800</v>
      </c>
      <c r="S19" s="226">
        <v>14.52272180812695</v>
      </c>
      <c r="T19" s="227">
        <v>1.3949456473595625</v>
      </c>
      <c r="U19" s="228">
        <v>0.09554422242188784</v>
      </c>
      <c r="V19" s="229">
        <v>0.08688430923425418</v>
      </c>
      <c r="W19" s="319"/>
      <c r="X19" s="230"/>
      <c r="Y19" s="231"/>
    </row>
    <row r="20" spans="1:25" ht="12.75">
      <c r="A20" s="156"/>
      <c r="B20" s="316"/>
      <c r="C20" s="242">
        <v>3</v>
      </c>
      <c r="D20" s="317" t="s">
        <v>132</v>
      </c>
      <c r="E20" s="318"/>
      <c r="F20" s="320">
        <v>39017</v>
      </c>
      <c r="G20" s="219">
        <v>4.595588235294118</v>
      </c>
      <c r="H20" s="220">
        <v>544</v>
      </c>
      <c r="I20" s="221">
        <v>1</v>
      </c>
      <c r="J20" s="238">
        <v>2500</v>
      </c>
      <c r="K20" s="321">
        <v>16</v>
      </c>
      <c r="L20" s="320">
        <v>39297</v>
      </c>
      <c r="M20" s="219">
        <v>4.595588235294118</v>
      </c>
      <c r="N20" s="224">
        <v>653.8</v>
      </c>
      <c r="O20" s="221">
        <v>1</v>
      </c>
      <c r="P20" s="238">
        <v>3004.595588235294</v>
      </c>
      <c r="Q20" s="321">
        <v>17.261488970588236</v>
      </c>
      <c r="R20" s="225">
        <v>280</v>
      </c>
      <c r="S20" s="226">
        <v>20.18382352941177</v>
      </c>
      <c r="T20" s="227">
        <v>26.311055672268914</v>
      </c>
      <c r="U20" s="228">
        <v>1.8021271008403363</v>
      </c>
      <c r="V20" s="229">
        <v>1.6833360688025212</v>
      </c>
      <c r="W20" s="319"/>
      <c r="X20" s="230"/>
      <c r="Y20" s="231"/>
    </row>
    <row r="21" spans="1:25" ht="12.75">
      <c r="A21" s="156"/>
      <c r="B21" s="316"/>
      <c r="C21" s="242">
        <v>3</v>
      </c>
      <c r="D21" s="317" t="s">
        <v>132</v>
      </c>
      <c r="E21" s="318"/>
      <c r="F21" s="320"/>
      <c r="G21" s="219"/>
      <c r="H21" s="220"/>
      <c r="I21" s="221"/>
      <c r="J21" s="238"/>
      <c r="K21" s="321"/>
      <c r="L21" s="320"/>
      <c r="M21" s="219"/>
      <c r="N21" s="224"/>
      <c r="O21" s="221"/>
      <c r="P21" s="238"/>
      <c r="Q21" s="321"/>
      <c r="R21" s="225"/>
      <c r="S21" s="226"/>
      <c r="T21" s="227"/>
      <c r="U21" s="228"/>
      <c r="V21" s="229"/>
      <c r="W21" s="319"/>
      <c r="X21" s="230"/>
      <c r="Y21" s="231"/>
    </row>
    <row r="22" spans="1:25" ht="12.75">
      <c r="A22" s="156"/>
      <c r="B22" s="316"/>
      <c r="C22" s="242">
        <v>4</v>
      </c>
      <c r="D22" s="317" t="s">
        <v>133</v>
      </c>
      <c r="E22" s="318"/>
      <c r="F22" s="320">
        <v>38723</v>
      </c>
      <c r="G22" s="219">
        <v>7.324934075593319</v>
      </c>
      <c r="H22" s="220">
        <v>341.3</v>
      </c>
      <c r="I22" s="221">
        <v>1</v>
      </c>
      <c r="J22" s="238">
        <v>2500</v>
      </c>
      <c r="K22" s="321">
        <v>16</v>
      </c>
      <c r="L22" s="320">
        <v>38870</v>
      </c>
      <c r="M22" s="219">
        <v>7.324934075593319</v>
      </c>
      <c r="N22" s="224">
        <v>343.6</v>
      </c>
      <c r="O22" s="221">
        <v>1</v>
      </c>
      <c r="P22" s="238">
        <v>2516.8473483738644</v>
      </c>
      <c r="Q22" s="321">
        <v>16.04211837093466</v>
      </c>
      <c r="R22" s="225">
        <v>147</v>
      </c>
      <c r="S22" s="226">
        <v>0.6738939349545836</v>
      </c>
      <c r="T22" s="227">
        <v>1.6732740561797304</v>
      </c>
      <c r="U22" s="228">
        <v>0.11460781206710481</v>
      </c>
      <c r="V22" s="229">
        <v>-0.10336578229299492</v>
      </c>
      <c r="W22" s="319"/>
      <c r="X22" s="230"/>
      <c r="Y22" s="231"/>
    </row>
    <row r="23" spans="1:25" ht="12.75">
      <c r="A23" s="156"/>
      <c r="B23" s="316"/>
      <c r="C23" s="242">
        <v>4</v>
      </c>
      <c r="D23" s="317" t="s">
        <v>133</v>
      </c>
      <c r="E23" s="318"/>
      <c r="F23" s="320">
        <v>38954</v>
      </c>
      <c r="G23" s="219">
        <v>6.97350069735007</v>
      </c>
      <c r="H23" s="220">
        <v>358.5</v>
      </c>
      <c r="I23" s="221">
        <v>1</v>
      </c>
      <c r="J23" s="238">
        <v>2500</v>
      </c>
      <c r="K23" s="321">
        <v>16</v>
      </c>
      <c r="L23" s="320">
        <v>39633</v>
      </c>
      <c r="M23" s="219">
        <v>6.97350069735007</v>
      </c>
      <c r="N23" s="224">
        <v>473</v>
      </c>
      <c r="O23" s="221">
        <v>1</v>
      </c>
      <c r="P23" s="238">
        <v>3298.465829846583</v>
      </c>
      <c r="Q23" s="321">
        <v>17.996164574616458</v>
      </c>
      <c r="R23" s="225">
        <v>679</v>
      </c>
      <c r="S23" s="226">
        <v>31.938633193863318</v>
      </c>
      <c r="T23" s="227">
        <v>17.16877925737866</v>
      </c>
      <c r="U23" s="228">
        <v>1.175943784751963</v>
      </c>
      <c r="V23" s="229">
        <v>1.1258757956877266</v>
      </c>
      <c r="W23" s="319"/>
      <c r="X23" s="230"/>
      <c r="Y23" s="231"/>
    </row>
    <row r="24" spans="1:25" ht="12.75">
      <c r="A24" s="156"/>
      <c r="B24" s="316"/>
      <c r="C24" s="242">
        <v>4</v>
      </c>
      <c r="D24" s="317" t="s">
        <v>133</v>
      </c>
      <c r="E24" s="318"/>
      <c r="F24" s="320"/>
      <c r="G24" s="219"/>
      <c r="H24" s="220"/>
      <c r="I24" s="221"/>
      <c r="J24" s="238"/>
      <c r="K24" s="321"/>
      <c r="L24" s="320"/>
      <c r="M24" s="219"/>
      <c r="N24" s="224"/>
      <c r="O24" s="221"/>
      <c r="P24" s="238"/>
      <c r="Q24" s="321"/>
      <c r="R24" s="225"/>
      <c r="S24" s="226"/>
      <c r="T24" s="227"/>
      <c r="U24" s="228"/>
      <c r="V24" s="229"/>
      <c r="W24" s="319"/>
      <c r="X24" s="230"/>
      <c r="Y24" s="231"/>
    </row>
    <row r="25" spans="1:25" ht="12.75">
      <c r="A25" s="156"/>
      <c r="B25" s="316"/>
      <c r="C25" s="242">
        <v>5</v>
      </c>
      <c r="D25" s="317" t="s">
        <v>134</v>
      </c>
      <c r="E25" s="318"/>
      <c r="F25" s="320">
        <v>38723</v>
      </c>
      <c r="G25" s="219">
        <v>8.463100880162493</v>
      </c>
      <c r="H25" s="220">
        <v>295.4</v>
      </c>
      <c r="I25" s="221">
        <v>1</v>
      </c>
      <c r="J25" s="238">
        <v>2500</v>
      </c>
      <c r="K25" s="321">
        <v>16</v>
      </c>
      <c r="L25" s="320">
        <v>38898</v>
      </c>
      <c r="M25" s="219">
        <v>8.463100880162493</v>
      </c>
      <c r="N25" s="224">
        <v>324</v>
      </c>
      <c r="O25" s="221">
        <v>1</v>
      </c>
      <c r="P25" s="238">
        <v>2742.044685172648</v>
      </c>
      <c r="Q25" s="321">
        <v>16.60511171293162</v>
      </c>
      <c r="R25" s="225">
        <v>175</v>
      </c>
      <c r="S25" s="226">
        <v>9.681787406905906</v>
      </c>
      <c r="T25" s="227">
        <v>20.193442305832335</v>
      </c>
      <c r="U25" s="228">
        <v>1.3831124867008449</v>
      </c>
      <c r="V25" s="229">
        <v>1.1967975626269498</v>
      </c>
      <c r="W25" s="319"/>
      <c r="X25" s="230"/>
      <c r="Y25" s="231"/>
    </row>
    <row r="26" spans="1:25" ht="12.75">
      <c r="A26" s="156"/>
      <c r="B26" s="316"/>
      <c r="C26" s="242">
        <v>5</v>
      </c>
      <c r="D26" s="317" t="s">
        <v>134</v>
      </c>
      <c r="E26" s="318"/>
      <c r="F26" s="320">
        <v>38996</v>
      </c>
      <c r="G26" s="219">
        <v>7.0821529745042495</v>
      </c>
      <c r="H26" s="220">
        <v>353</v>
      </c>
      <c r="I26" s="221">
        <v>1</v>
      </c>
      <c r="J26" s="238">
        <v>2500</v>
      </c>
      <c r="K26" s="321">
        <v>16</v>
      </c>
      <c r="L26" s="320">
        <v>39290</v>
      </c>
      <c r="M26" s="219">
        <v>7.0821529745042495</v>
      </c>
      <c r="N26" s="224">
        <v>435.7</v>
      </c>
      <c r="O26" s="221">
        <v>1</v>
      </c>
      <c r="P26" s="238">
        <v>3085.6940509915016</v>
      </c>
      <c r="Q26" s="321">
        <v>17.464235127478755</v>
      </c>
      <c r="R26" s="225">
        <v>294</v>
      </c>
      <c r="S26" s="226">
        <v>23.42776203966006</v>
      </c>
      <c r="T26" s="227">
        <v>29.08548688597253</v>
      </c>
      <c r="U26" s="228">
        <v>1.9921566360255156</v>
      </c>
      <c r="V26" s="229">
        <v>1.8783327070204858</v>
      </c>
      <c r="W26" s="319"/>
      <c r="X26" s="230"/>
      <c r="Y26" s="231"/>
    </row>
    <row r="27" spans="1:25" ht="12.75">
      <c r="A27" s="156"/>
      <c r="B27" s="316"/>
      <c r="C27" s="242">
        <v>5</v>
      </c>
      <c r="D27" s="317" t="s">
        <v>134</v>
      </c>
      <c r="E27" s="318"/>
      <c r="F27" s="320"/>
      <c r="G27" s="219"/>
      <c r="H27" s="220"/>
      <c r="I27" s="221"/>
      <c r="J27" s="238"/>
      <c r="K27" s="321"/>
      <c r="L27" s="320"/>
      <c r="M27" s="219"/>
      <c r="N27" s="224"/>
      <c r="O27" s="221"/>
      <c r="P27" s="238"/>
      <c r="Q27" s="321"/>
      <c r="R27" s="225"/>
      <c r="S27" s="226"/>
      <c r="T27" s="227"/>
      <c r="U27" s="228"/>
      <c r="V27" s="229"/>
      <c r="W27" s="319"/>
      <c r="X27" s="230"/>
      <c r="Y27" s="231"/>
    </row>
    <row r="28" spans="1:25" ht="12.75">
      <c r="A28" s="156"/>
      <c r="B28" s="316"/>
      <c r="C28" s="242">
        <v>6</v>
      </c>
      <c r="D28" s="317" t="s">
        <v>135</v>
      </c>
      <c r="E28" s="318"/>
      <c r="F28" s="320">
        <v>38933</v>
      </c>
      <c r="G28" s="219">
        <v>9.170946441672779</v>
      </c>
      <c r="H28" s="220">
        <v>272.6</v>
      </c>
      <c r="I28" s="221">
        <v>1</v>
      </c>
      <c r="J28" s="238">
        <v>2500</v>
      </c>
      <c r="K28" s="321">
        <v>16</v>
      </c>
      <c r="L28" s="320">
        <v>39245</v>
      </c>
      <c r="M28" s="219">
        <v>9.170946441672779</v>
      </c>
      <c r="N28" s="224">
        <v>332.74</v>
      </c>
      <c r="O28" s="221">
        <v>1</v>
      </c>
      <c r="P28" s="238">
        <v>3051.5407190022006</v>
      </c>
      <c r="Q28" s="321">
        <v>17.3788517975055</v>
      </c>
      <c r="R28" s="225">
        <v>312</v>
      </c>
      <c r="S28" s="226">
        <v>22.061628760088013</v>
      </c>
      <c r="T28" s="227">
        <v>25.80927723535939</v>
      </c>
      <c r="U28" s="228">
        <v>1.767758714750643</v>
      </c>
      <c r="V28" s="229">
        <v>1.6607752153996638</v>
      </c>
      <c r="W28" s="319"/>
      <c r="X28" s="230"/>
      <c r="Y28" s="231"/>
    </row>
    <row r="29" spans="1:25" ht="12.75">
      <c r="A29" s="156"/>
      <c r="B29" s="316"/>
      <c r="C29" s="242">
        <v>6</v>
      </c>
      <c r="D29" s="317" t="s">
        <v>135</v>
      </c>
      <c r="E29" s="318"/>
      <c r="F29" s="320">
        <v>39381</v>
      </c>
      <c r="G29" s="219">
        <v>7.514277126540427</v>
      </c>
      <c r="H29" s="220">
        <v>332.7</v>
      </c>
      <c r="I29" s="221">
        <v>1</v>
      </c>
      <c r="J29" s="238">
        <v>2500</v>
      </c>
      <c r="K29" s="321">
        <v>16</v>
      </c>
      <c r="L29" s="320">
        <v>39444</v>
      </c>
      <c r="M29" s="219">
        <v>7.514277126540427</v>
      </c>
      <c r="N29" s="224">
        <v>330</v>
      </c>
      <c r="O29" s="221">
        <v>1</v>
      </c>
      <c r="P29" s="238">
        <v>2479.711451758341</v>
      </c>
      <c r="Q29" s="321">
        <v>15.949278629395852</v>
      </c>
      <c r="R29" s="225">
        <v>63</v>
      </c>
      <c r="S29" s="226">
        <v>-0.8115419296663595</v>
      </c>
      <c r="T29" s="227">
        <v>-4.701790544892426</v>
      </c>
      <c r="U29" s="228">
        <v>-0.3220404482803032</v>
      </c>
      <c r="V29" s="229">
        <v>-0.8291718550961104</v>
      </c>
      <c r="W29" s="319"/>
      <c r="X29" s="230"/>
      <c r="Y29" s="231"/>
    </row>
    <row r="30" spans="1:25" ht="12.75">
      <c r="A30" s="156"/>
      <c r="B30" s="316"/>
      <c r="C30" s="242">
        <v>6</v>
      </c>
      <c r="D30" s="317" t="s">
        <v>135</v>
      </c>
      <c r="E30" s="318"/>
      <c r="F30" s="320"/>
      <c r="G30" s="219"/>
      <c r="H30" s="220"/>
      <c r="I30" s="221"/>
      <c r="J30" s="238"/>
      <c r="K30" s="321"/>
      <c r="L30" s="320"/>
      <c r="M30" s="219"/>
      <c r="N30" s="224"/>
      <c r="O30" s="221"/>
      <c r="P30" s="238"/>
      <c r="Q30" s="321"/>
      <c r="R30" s="225"/>
      <c r="S30" s="226"/>
      <c r="T30" s="227"/>
      <c r="U30" s="228"/>
      <c r="V30" s="229"/>
      <c r="W30" s="319"/>
      <c r="X30" s="230"/>
      <c r="Y30" s="231"/>
    </row>
    <row r="31" spans="1:25" ht="12.75">
      <c r="A31" s="156"/>
      <c r="B31" s="316"/>
      <c r="C31" s="242">
        <v>6</v>
      </c>
      <c r="D31" s="317" t="s">
        <v>135</v>
      </c>
      <c r="E31" s="318"/>
      <c r="F31" s="320"/>
      <c r="G31" s="219"/>
      <c r="H31" s="220"/>
      <c r="I31" s="221"/>
      <c r="J31" s="238"/>
      <c r="K31" s="321"/>
      <c r="L31" s="320"/>
      <c r="M31" s="219"/>
      <c r="N31" s="224"/>
      <c r="O31" s="221"/>
      <c r="P31" s="238"/>
      <c r="Q31" s="321"/>
      <c r="R31" s="225"/>
      <c r="S31" s="226"/>
      <c r="T31" s="227"/>
      <c r="U31" s="228"/>
      <c r="V31" s="229"/>
      <c r="W31" s="319"/>
      <c r="X31" s="230"/>
      <c r="Y31" s="231"/>
    </row>
    <row r="32" spans="1:25" ht="12.75">
      <c r="A32" s="156"/>
      <c r="B32" s="316"/>
      <c r="C32" s="242">
        <v>7</v>
      </c>
      <c r="D32" s="317" t="s">
        <v>136</v>
      </c>
      <c r="E32" s="318"/>
      <c r="F32" s="320">
        <v>38723</v>
      </c>
      <c r="G32" s="219">
        <v>7.500750075007501</v>
      </c>
      <c r="H32" s="220">
        <v>333.3</v>
      </c>
      <c r="I32" s="221">
        <v>1</v>
      </c>
      <c r="J32" s="238">
        <v>2500</v>
      </c>
      <c r="K32" s="321">
        <v>16</v>
      </c>
      <c r="L32" s="320">
        <v>39143</v>
      </c>
      <c r="M32" s="219">
        <v>7.500750075007501</v>
      </c>
      <c r="N32" s="224">
        <v>467.6</v>
      </c>
      <c r="O32" s="221">
        <v>1</v>
      </c>
      <c r="P32" s="238">
        <v>3507.3507350735076</v>
      </c>
      <c r="Q32" s="321">
        <v>18.518376837683768</v>
      </c>
      <c r="R32" s="225">
        <v>420</v>
      </c>
      <c r="S32" s="226">
        <v>40.29402940294031</v>
      </c>
      <c r="T32" s="227">
        <v>35.01743031446003</v>
      </c>
      <c r="U32" s="228">
        <v>2.3984541311273992</v>
      </c>
      <c r="V32" s="229">
        <v>2.3162675196091045</v>
      </c>
      <c r="W32" s="319"/>
      <c r="X32" s="230"/>
      <c r="Y32" s="231"/>
    </row>
    <row r="33" spans="1:25" ht="12.75">
      <c r="A33" s="156"/>
      <c r="B33" s="316"/>
      <c r="C33" s="242">
        <v>7</v>
      </c>
      <c r="D33" s="317" t="s">
        <v>136</v>
      </c>
      <c r="E33" s="318"/>
      <c r="F33" s="320"/>
      <c r="G33" s="219"/>
      <c r="H33" s="220"/>
      <c r="I33" s="221"/>
      <c r="J33" s="238"/>
      <c r="K33" s="321"/>
      <c r="L33" s="320"/>
      <c r="M33" s="219"/>
      <c r="N33" s="224"/>
      <c r="O33" s="221"/>
      <c r="P33" s="238"/>
      <c r="Q33" s="321"/>
      <c r="R33" s="225"/>
      <c r="S33" s="226"/>
      <c r="T33" s="227"/>
      <c r="U33" s="228"/>
      <c r="V33" s="229"/>
      <c r="W33" s="319"/>
      <c r="X33" s="230"/>
      <c r="Y33" s="231"/>
    </row>
    <row r="34" spans="1:25" ht="12.75">
      <c r="A34" s="156"/>
      <c r="B34" s="316"/>
      <c r="C34" s="242">
        <v>7</v>
      </c>
      <c r="D34" s="317" t="s">
        <v>136</v>
      </c>
      <c r="E34" s="318"/>
      <c r="F34" s="320"/>
      <c r="G34" s="219"/>
      <c r="H34" s="220"/>
      <c r="I34" s="221"/>
      <c r="J34" s="238"/>
      <c r="K34" s="321"/>
      <c r="L34" s="320"/>
      <c r="M34" s="219"/>
      <c r="N34" s="224"/>
      <c r="O34" s="221"/>
      <c r="P34" s="238"/>
      <c r="Q34" s="321"/>
      <c r="R34" s="225"/>
      <c r="S34" s="226"/>
      <c r="T34" s="227"/>
      <c r="U34" s="228"/>
      <c r="V34" s="229"/>
      <c r="W34" s="319"/>
      <c r="X34" s="230"/>
      <c r="Y34" s="231"/>
    </row>
    <row r="35" spans="1:25" ht="12.75">
      <c r="A35" s="156"/>
      <c r="B35" s="316"/>
      <c r="C35" s="242">
        <v>7</v>
      </c>
      <c r="D35" s="317" t="s">
        <v>136</v>
      </c>
      <c r="E35" s="318"/>
      <c r="F35" s="320"/>
      <c r="G35" s="219"/>
      <c r="H35" s="220"/>
      <c r="I35" s="221"/>
      <c r="J35" s="238"/>
      <c r="K35" s="321"/>
      <c r="L35" s="320"/>
      <c r="M35" s="219"/>
      <c r="N35" s="224"/>
      <c r="O35" s="221"/>
      <c r="P35" s="238"/>
      <c r="Q35" s="321"/>
      <c r="R35" s="225"/>
      <c r="S35" s="226"/>
      <c r="T35" s="227"/>
      <c r="U35" s="228"/>
      <c r="V35" s="229"/>
      <c r="W35" s="319"/>
      <c r="X35" s="230"/>
      <c r="Y35" s="231"/>
    </row>
    <row r="36" spans="1:25" ht="12.75">
      <c r="A36" s="156"/>
      <c r="B36" s="316"/>
      <c r="C36" s="242">
        <v>8</v>
      </c>
      <c r="D36" s="317" t="s">
        <v>137</v>
      </c>
      <c r="E36" s="318"/>
      <c r="F36" s="320"/>
      <c r="G36" s="219"/>
      <c r="H36" s="220"/>
      <c r="I36" s="221"/>
      <c r="J36" s="238"/>
      <c r="K36" s="321"/>
      <c r="L36" s="328"/>
      <c r="M36" s="219"/>
      <c r="N36" s="224"/>
      <c r="O36" s="221"/>
      <c r="P36" s="238"/>
      <c r="Q36" s="321"/>
      <c r="R36" s="225"/>
      <c r="S36" s="226"/>
      <c r="T36" s="227"/>
      <c r="U36" s="228"/>
      <c r="V36" s="229"/>
      <c r="W36" s="319"/>
      <c r="X36" s="230"/>
      <c r="Y36" s="231"/>
    </row>
    <row r="37" spans="1:25" ht="12.75">
      <c r="A37" s="156"/>
      <c r="B37" s="316"/>
      <c r="C37" s="242">
        <v>8</v>
      </c>
      <c r="D37" s="317" t="s">
        <v>137</v>
      </c>
      <c r="E37" s="318"/>
      <c r="F37" s="320">
        <v>39675</v>
      </c>
      <c r="G37" s="219">
        <v>6.725854183481302</v>
      </c>
      <c r="H37" s="220">
        <v>371.7</v>
      </c>
      <c r="I37" s="221">
        <v>1</v>
      </c>
      <c r="J37" s="238">
        <v>2500</v>
      </c>
      <c r="K37" s="321">
        <v>16</v>
      </c>
      <c r="L37" s="320">
        <v>39787</v>
      </c>
      <c r="M37" s="219">
        <v>6.725854183481302</v>
      </c>
      <c r="N37" s="224">
        <v>324.3</v>
      </c>
      <c r="O37" s="221">
        <v>1</v>
      </c>
      <c r="P37" s="238">
        <v>2181.1945117029863</v>
      </c>
      <c r="Q37" s="321">
        <v>15.202986279257466</v>
      </c>
      <c r="R37" s="225">
        <v>112</v>
      </c>
      <c r="S37" s="226">
        <v>-12.752219531880549</v>
      </c>
      <c r="T37" s="227">
        <v>-41.558572581574985</v>
      </c>
      <c r="U37" s="228">
        <v>-2.846477574080479</v>
      </c>
      <c r="V37" s="229">
        <v>-3.1250756658595633</v>
      </c>
      <c r="W37" s="319"/>
      <c r="X37" s="230"/>
      <c r="Y37" s="231"/>
    </row>
    <row r="38" spans="1:25" ht="12.75">
      <c r="A38" s="156"/>
      <c r="B38" s="316"/>
      <c r="C38" s="242">
        <v>8</v>
      </c>
      <c r="D38" s="317" t="s">
        <v>137</v>
      </c>
      <c r="E38" s="318"/>
      <c r="F38" s="320"/>
      <c r="G38" s="219"/>
      <c r="H38" s="220"/>
      <c r="I38" s="221"/>
      <c r="J38" s="238"/>
      <c r="K38" s="321"/>
      <c r="L38" s="320"/>
      <c r="M38" s="219"/>
      <c r="N38" s="224"/>
      <c r="O38" s="221"/>
      <c r="P38" s="238"/>
      <c r="Q38" s="321"/>
      <c r="R38" s="225"/>
      <c r="S38" s="226"/>
      <c r="T38" s="227"/>
      <c r="U38" s="228"/>
      <c r="V38" s="229"/>
      <c r="W38" s="319"/>
      <c r="X38" s="230"/>
      <c r="Y38" s="231"/>
    </row>
    <row r="39" spans="1:25" ht="12.75">
      <c r="A39" s="156"/>
      <c r="B39" s="316"/>
      <c r="C39" s="242">
        <v>9</v>
      </c>
      <c r="D39" s="317" t="s">
        <v>138</v>
      </c>
      <c r="E39" s="318"/>
      <c r="F39" s="320">
        <v>38723</v>
      </c>
      <c r="G39" s="219">
        <v>9.936406995230525</v>
      </c>
      <c r="H39" s="220">
        <v>251.6</v>
      </c>
      <c r="I39" s="221">
        <v>1</v>
      </c>
      <c r="J39" s="238">
        <v>2500</v>
      </c>
      <c r="K39" s="321">
        <v>16</v>
      </c>
      <c r="L39" s="320">
        <v>38870</v>
      </c>
      <c r="M39" s="219">
        <v>9.936406995230525</v>
      </c>
      <c r="N39" s="224">
        <v>267.5</v>
      </c>
      <c r="O39" s="221">
        <v>1</v>
      </c>
      <c r="P39" s="238">
        <v>2657.9888712241655</v>
      </c>
      <c r="Q39" s="321">
        <v>16.394972178060414</v>
      </c>
      <c r="R39" s="225">
        <v>147</v>
      </c>
      <c r="S39" s="226">
        <v>6.319554848966624</v>
      </c>
      <c r="T39" s="227">
        <v>15.691411699815069</v>
      </c>
      <c r="U39" s="228">
        <v>1.074754226014731</v>
      </c>
      <c r="V39" s="229">
        <v>0.8543802656197621</v>
      </c>
      <c r="W39" s="319"/>
      <c r="X39" s="230"/>
      <c r="Y39" s="231"/>
    </row>
    <row r="40" spans="1:25" ht="12.75">
      <c r="A40" s="156"/>
      <c r="B40" s="316"/>
      <c r="C40" s="242">
        <v>9</v>
      </c>
      <c r="D40" s="317" t="s">
        <v>138</v>
      </c>
      <c r="E40" s="318"/>
      <c r="F40" s="320">
        <v>39003</v>
      </c>
      <c r="G40" s="219">
        <v>8.716875871687586</v>
      </c>
      <c r="H40" s="220">
        <v>286.8</v>
      </c>
      <c r="I40" s="221">
        <v>1</v>
      </c>
      <c r="J40" s="238">
        <v>2500</v>
      </c>
      <c r="K40" s="321">
        <v>16</v>
      </c>
      <c r="L40" s="320">
        <v>39304</v>
      </c>
      <c r="M40" s="219">
        <v>8.716875871687586</v>
      </c>
      <c r="N40" s="224">
        <v>338.2</v>
      </c>
      <c r="O40" s="221">
        <v>1</v>
      </c>
      <c r="P40" s="238">
        <v>2948.0474198047414</v>
      </c>
      <c r="Q40" s="321">
        <v>17.120118549511854</v>
      </c>
      <c r="R40" s="225">
        <v>301</v>
      </c>
      <c r="S40" s="226">
        <v>17.92189679218965</v>
      </c>
      <c r="T40" s="227">
        <v>21.73253265498081</v>
      </c>
      <c r="U40" s="228">
        <v>1.4885296339027951</v>
      </c>
      <c r="V40" s="229">
        <v>1.3784960174592342</v>
      </c>
      <c r="W40" s="319"/>
      <c r="X40" s="230"/>
      <c r="Y40" s="231"/>
    </row>
    <row r="41" spans="1:25" ht="12.75">
      <c r="A41" s="156"/>
      <c r="B41" s="316"/>
      <c r="C41" s="242">
        <v>9</v>
      </c>
      <c r="D41" s="317" t="s">
        <v>138</v>
      </c>
      <c r="E41" s="318"/>
      <c r="F41" s="320"/>
      <c r="G41" s="219"/>
      <c r="H41" s="220"/>
      <c r="I41" s="221"/>
      <c r="J41" s="238"/>
      <c r="K41" s="321"/>
      <c r="L41" s="320"/>
      <c r="M41" s="219"/>
      <c r="N41" s="224"/>
      <c r="O41" s="221"/>
      <c r="P41" s="238"/>
      <c r="Q41" s="321"/>
      <c r="R41" s="225"/>
      <c r="S41" s="226"/>
      <c r="T41" s="227"/>
      <c r="U41" s="228"/>
      <c r="V41" s="229"/>
      <c r="W41" s="319"/>
      <c r="X41" s="230"/>
      <c r="Y41" s="231"/>
    </row>
    <row r="42" spans="1:25" ht="12.75">
      <c r="A42" s="156"/>
      <c r="B42" s="316"/>
      <c r="C42" s="242">
        <v>10</v>
      </c>
      <c r="D42" s="317" t="s">
        <v>139</v>
      </c>
      <c r="E42" s="318"/>
      <c r="F42" s="320">
        <v>38940</v>
      </c>
      <c r="G42" s="219">
        <v>9.984025559105431</v>
      </c>
      <c r="H42" s="220">
        <v>250.4</v>
      </c>
      <c r="I42" s="221">
        <v>1</v>
      </c>
      <c r="J42" s="238">
        <v>2500</v>
      </c>
      <c r="K42" s="321">
        <v>16</v>
      </c>
      <c r="L42" s="320">
        <v>39143</v>
      </c>
      <c r="M42" s="219">
        <v>9.984025559105431</v>
      </c>
      <c r="N42" s="224">
        <v>280.3</v>
      </c>
      <c r="O42" s="221">
        <v>1</v>
      </c>
      <c r="P42" s="238">
        <v>2798.5223642172523</v>
      </c>
      <c r="Q42" s="321">
        <v>16.746305910543132</v>
      </c>
      <c r="R42" s="225">
        <v>203</v>
      </c>
      <c r="S42" s="226">
        <v>11.940894568690098</v>
      </c>
      <c r="T42" s="227">
        <v>21.47008136734918</v>
      </c>
      <c r="U42" s="228">
        <v>1.4705535183115876</v>
      </c>
      <c r="V42" s="229">
        <v>1.309241666535513</v>
      </c>
      <c r="W42" s="319"/>
      <c r="X42" s="230"/>
      <c r="Y42" s="231"/>
    </row>
    <row r="43" spans="1:25" ht="12.75">
      <c r="A43" s="156"/>
      <c r="B43" s="316"/>
      <c r="C43" s="242">
        <v>10</v>
      </c>
      <c r="D43" s="317" t="s">
        <v>139</v>
      </c>
      <c r="E43" s="318"/>
      <c r="F43" s="320"/>
      <c r="G43" s="219"/>
      <c r="H43" s="220"/>
      <c r="I43" s="221"/>
      <c r="J43" s="238"/>
      <c r="K43" s="321"/>
      <c r="L43" s="320"/>
      <c r="M43" s="219"/>
      <c r="N43" s="224"/>
      <c r="O43" s="221"/>
      <c r="P43" s="238"/>
      <c r="Q43" s="321"/>
      <c r="R43" s="225"/>
      <c r="S43" s="226"/>
      <c r="T43" s="227"/>
      <c r="U43" s="228"/>
      <c r="V43" s="229"/>
      <c r="W43" s="319"/>
      <c r="X43" s="230"/>
      <c r="Y43" s="231"/>
    </row>
    <row r="44" spans="1:25" ht="12.75">
      <c r="A44" s="156"/>
      <c r="B44" s="316"/>
      <c r="C44" s="242">
        <v>10</v>
      </c>
      <c r="D44" s="317" t="s">
        <v>139</v>
      </c>
      <c r="E44" s="318"/>
      <c r="F44" s="320"/>
      <c r="G44" s="219"/>
      <c r="H44" s="220"/>
      <c r="I44" s="221"/>
      <c r="J44" s="238"/>
      <c r="K44" s="321"/>
      <c r="L44" s="320"/>
      <c r="M44" s="219"/>
      <c r="N44" s="224"/>
      <c r="O44" s="221"/>
      <c r="P44" s="238"/>
      <c r="Q44" s="321"/>
      <c r="R44" s="225"/>
      <c r="S44" s="226"/>
      <c r="T44" s="227"/>
      <c r="U44" s="228"/>
      <c r="V44" s="229"/>
      <c r="W44" s="319"/>
      <c r="X44" s="230"/>
      <c r="Y44" s="231"/>
    </row>
    <row r="45" spans="1:25" ht="12.75">
      <c r="A45" s="156"/>
      <c r="B45" s="316"/>
      <c r="C45" s="242">
        <v>11</v>
      </c>
      <c r="D45" s="317" t="s">
        <v>140</v>
      </c>
      <c r="E45" s="318"/>
      <c r="F45" s="320"/>
      <c r="G45" s="219"/>
      <c r="H45" s="220"/>
      <c r="I45" s="221"/>
      <c r="J45" s="238"/>
      <c r="K45" s="321"/>
      <c r="L45" s="320"/>
      <c r="M45" s="219"/>
      <c r="N45" s="224"/>
      <c r="O45" s="221"/>
      <c r="P45" s="238"/>
      <c r="Q45" s="321"/>
      <c r="R45" s="225"/>
      <c r="S45" s="226"/>
      <c r="T45" s="227"/>
      <c r="U45" s="228"/>
      <c r="V45" s="229"/>
      <c r="W45" s="319"/>
      <c r="X45" s="230"/>
      <c r="Y45" s="231"/>
    </row>
    <row r="46" spans="1:25" ht="12.75">
      <c r="A46" s="156"/>
      <c r="B46" s="316"/>
      <c r="C46" s="242">
        <v>11</v>
      </c>
      <c r="D46" s="317" t="s">
        <v>140</v>
      </c>
      <c r="E46" s="318"/>
      <c r="F46" s="320"/>
      <c r="G46" s="219"/>
      <c r="H46" s="220"/>
      <c r="I46" s="221"/>
      <c r="J46" s="238"/>
      <c r="K46" s="321"/>
      <c r="L46" s="320"/>
      <c r="M46" s="219"/>
      <c r="N46" s="224"/>
      <c r="O46" s="221"/>
      <c r="P46" s="238"/>
      <c r="Q46" s="321"/>
      <c r="R46" s="225"/>
      <c r="S46" s="226"/>
      <c r="T46" s="227"/>
      <c r="U46" s="228"/>
      <c r="V46" s="229"/>
      <c r="W46" s="319"/>
      <c r="X46" s="230"/>
      <c r="Y46" s="231"/>
    </row>
    <row r="47" spans="1:25" ht="12.75">
      <c r="A47" s="156"/>
      <c r="B47" s="316"/>
      <c r="C47" s="242">
        <v>11</v>
      </c>
      <c r="D47" s="317" t="s">
        <v>140</v>
      </c>
      <c r="E47" s="318"/>
      <c r="F47" s="320"/>
      <c r="G47" s="219"/>
      <c r="H47" s="220"/>
      <c r="I47" s="221"/>
      <c r="J47" s="238"/>
      <c r="K47" s="321"/>
      <c r="L47" s="320"/>
      <c r="M47" s="219"/>
      <c r="N47" s="224"/>
      <c r="O47" s="221"/>
      <c r="P47" s="238"/>
      <c r="Q47" s="321"/>
      <c r="R47" s="225"/>
      <c r="S47" s="226"/>
      <c r="T47" s="227"/>
      <c r="U47" s="228"/>
      <c r="V47" s="229"/>
      <c r="W47" s="319"/>
      <c r="X47" s="230"/>
      <c r="Y47" s="231"/>
    </row>
    <row r="48" spans="1:25" ht="12.75">
      <c r="A48" s="156"/>
      <c r="B48" s="316"/>
      <c r="C48" s="242">
        <v>12</v>
      </c>
      <c r="D48" s="317" t="s">
        <v>141</v>
      </c>
      <c r="E48" s="318"/>
      <c r="F48" s="320"/>
      <c r="G48" s="219"/>
      <c r="H48" s="220"/>
      <c r="I48" s="221"/>
      <c r="J48" s="238"/>
      <c r="K48" s="321"/>
      <c r="L48" s="320"/>
      <c r="M48" s="219"/>
      <c r="N48" s="224"/>
      <c r="O48" s="221"/>
      <c r="P48" s="238"/>
      <c r="Q48" s="321"/>
      <c r="R48" s="225"/>
      <c r="S48" s="226"/>
      <c r="T48" s="227"/>
      <c r="U48" s="228"/>
      <c r="V48" s="229"/>
      <c r="W48" s="319"/>
      <c r="X48" s="230"/>
      <c r="Y48" s="231"/>
    </row>
    <row r="49" spans="1:25" ht="12.75">
      <c r="A49" s="156"/>
      <c r="B49" s="316"/>
      <c r="C49" s="242">
        <v>12</v>
      </c>
      <c r="D49" s="317" t="s">
        <v>141</v>
      </c>
      <c r="E49" s="318"/>
      <c r="F49" s="320"/>
      <c r="G49" s="219"/>
      <c r="H49" s="220"/>
      <c r="I49" s="221"/>
      <c r="J49" s="238"/>
      <c r="K49" s="321"/>
      <c r="L49" s="320"/>
      <c r="M49" s="219"/>
      <c r="N49" s="224"/>
      <c r="O49" s="221"/>
      <c r="P49" s="238"/>
      <c r="Q49" s="321"/>
      <c r="R49" s="225"/>
      <c r="S49" s="226"/>
      <c r="T49" s="227"/>
      <c r="U49" s="228"/>
      <c r="V49" s="229"/>
      <c r="W49" s="319"/>
      <c r="X49" s="230"/>
      <c r="Y49" s="231"/>
    </row>
    <row r="50" spans="1:25" ht="12.75">
      <c r="A50" s="156"/>
      <c r="B50" s="316"/>
      <c r="C50" s="242">
        <v>12</v>
      </c>
      <c r="D50" s="317" t="s">
        <v>141</v>
      </c>
      <c r="E50" s="318"/>
      <c r="F50" s="320"/>
      <c r="G50" s="219"/>
      <c r="H50" s="220"/>
      <c r="I50" s="221"/>
      <c r="J50" s="238"/>
      <c r="K50" s="321"/>
      <c r="L50" s="320"/>
      <c r="M50" s="219"/>
      <c r="N50" s="224"/>
      <c r="O50" s="221"/>
      <c r="P50" s="238"/>
      <c r="Q50" s="321"/>
      <c r="R50" s="225"/>
      <c r="S50" s="226"/>
      <c r="T50" s="227"/>
      <c r="U50" s="228"/>
      <c r="V50" s="229"/>
      <c r="W50" s="319"/>
      <c r="X50" s="230"/>
      <c r="Y50" s="231"/>
    </row>
    <row r="51" spans="1:25" ht="12.75">
      <c r="A51" s="156"/>
      <c r="B51" s="316"/>
      <c r="C51" s="242">
        <v>13</v>
      </c>
      <c r="D51" s="317" t="s">
        <v>142</v>
      </c>
      <c r="E51" s="318"/>
      <c r="F51" s="320">
        <v>38723</v>
      </c>
      <c r="G51" s="219">
        <v>7.539203860072376</v>
      </c>
      <c r="H51" s="220">
        <v>331.6</v>
      </c>
      <c r="I51" s="221">
        <v>1</v>
      </c>
      <c r="J51" s="238">
        <v>2500</v>
      </c>
      <c r="K51" s="321">
        <v>16</v>
      </c>
      <c r="L51" s="320">
        <v>38856</v>
      </c>
      <c r="M51" s="219">
        <v>7.539203860072376</v>
      </c>
      <c r="N51" s="224">
        <v>328.4</v>
      </c>
      <c r="O51" s="221">
        <v>1</v>
      </c>
      <c r="P51" s="238">
        <v>2475.874547647768</v>
      </c>
      <c r="Q51" s="321">
        <v>15.939686369119421</v>
      </c>
      <c r="R51" s="225">
        <v>133</v>
      </c>
      <c r="S51" s="226">
        <v>-0.9650180940892872</v>
      </c>
      <c r="T51" s="227">
        <v>-2.64835792738788</v>
      </c>
      <c r="U51" s="228">
        <v>-0.18139437858821097</v>
      </c>
      <c r="V51" s="229">
        <v>-0.42154239640113894</v>
      </c>
      <c r="W51" s="319"/>
      <c r="X51" s="230"/>
      <c r="Y51" s="231"/>
    </row>
    <row r="52" spans="1:25" ht="12.75">
      <c r="A52" s="156"/>
      <c r="B52" s="316"/>
      <c r="C52" s="242">
        <v>13</v>
      </c>
      <c r="D52" s="317" t="s">
        <v>142</v>
      </c>
      <c r="E52" s="318"/>
      <c r="F52" s="320">
        <v>38954</v>
      </c>
      <c r="G52" s="219">
        <v>7.130633200228179</v>
      </c>
      <c r="H52" s="220">
        <v>350.6</v>
      </c>
      <c r="I52" s="221">
        <v>1</v>
      </c>
      <c r="J52" s="238">
        <v>2500</v>
      </c>
      <c r="K52" s="321">
        <v>16</v>
      </c>
      <c r="L52" s="320">
        <v>39280</v>
      </c>
      <c r="M52" s="219">
        <v>7.130633200228179</v>
      </c>
      <c r="N52" s="224">
        <v>422.3</v>
      </c>
      <c r="O52" s="221">
        <v>1</v>
      </c>
      <c r="P52" s="238">
        <v>3011.2664004563603</v>
      </c>
      <c r="Q52" s="321">
        <v>17.278166001140903</v>
      </c>
      <c r="R52" s="225">
        <v>326</v>
      </c>
      <c r="S52" s="226">
        <v>20.45065601825442</v>
      </c>
      <c r="T52" s="227">
        <v>22.89720689160387</v>
      </c>
      <c r="U52" s="228">
        <v>1.5683018418906758</v>
      </c>
      <c r="V52" s="229">
        <v>1.466221578083495</v>
      </c>
      <c r="W52" s="319"/>
      <c r="X52" s="230"/>
      <c r="Y52" s="231"/>
    </row>
    <row r="53" spans="1:25" ht="12.75">
      <c r="A53" s="156"/>
      <c r="B53" s="316"/>
      <c r="C53" s="242">
        <v>13</v>
      </c>
      <c r="D53" s="317" t="s">
        <v>142</v>
      </c>
      <c r="E53" s="318"/>
      <c r="F53" s="320"/>
      <c r="G53" s="219"/>
      <c r="H53" s="220"/>
      <c r="I53" s="221"/>
      <c r="J53" s="238"/>
      <c r="K53" s="321"/>
      <c r="L53" s="320"/>
      <c r="M53" s="219"/>
      <c r="N53" s="224"/>
      <c r="O53" s="221"/>
      <c r="P53" s="238"/>
      <c r="Q53" s="321"/>
      <c r="R53" s="225"/>
      <c r="S53" s="226"/>
      <c r="T53" s="227"/>
      <c r="U53" s="228"/>
      <c r="V53" s="229"/>
      <c r="W53" s="319"/>
      <c r="X53" s="230"/>
      <c r="Y53" s="231"/>
    </row>
    <row r="54" spans="1:25" ht="12.75">
      <c r="A54" s="156"/>
      <c r="B54" s="316"/>
      <c r="C54" s="242">
        <v>14</v>
      </c>
      <c r="D54" s="317" t="s">
        <v>143</v>
      </c>
      <c r="E54" s="318"/>
      <c r="F54" s="320">
        <v>38723</v>
      </c>
      <c r="G54" s="219">
        <v>9.433962264150944</v>
      </c>
      <c r="H54" s="220">
        <v>265</v>
      </c>
      <c r="I54" s="221">
        <v>1</v>
      </c>
      <c r="J54" s="238">
        <v>2500</v>
      </c>
      <c r="K54" s="321">
        <v>16</v>
      </c>
      <c r="L54" s="320">
        <v>39241</v>
      </c>
      <c r="M54" s="219">
        <v>9.433962264150944</v>
      </c>
      <c r="N54" s="224">
        <v>361.9</v>
      </c>
      <c r="O54" s="221">
        <v>1</v>
      </c>
      <c r="P54" s="238">
        <v>3414.1509433962265</v>
      </c>
      <c r="Q54" s="321">
        <v>18.285377358490564</v>
      </c>
      <c r="R54" s="225">
        <v>518</v>
      </c>
      <c r="S54" s="226">
        <v>36.56603773584906</v>
      </c>
      <c r="T54" s="227">
        <v>25.765644350550016</v>
      </c>
      <c r="U54" s="228">
        <v>1.7647701609965762</v>
      </c>
      <c r="V54" s="229">
        <v>1.698582173818023</v>
      </c>
      <c r="W54" s="319"/>
      <c r="X54" s="230"/>
      <c r="Y54" s="231"/>
    </row>
    <row r="55" spans="1:25" ht="12.75">
      <c r="A55" s="156"/>
      <c r="B55" s="316"/>
      <c r="C55" s="242">
        <v>14</v>
      </c>
      <c r="D55" s="317" t="s">
        <v>143</v>
      </c>
      <c r="E55" s="318"/>
      <c r="F55" s="320"/>
      <c r="G55" s="219"/>
      <c r="H55" s="220"/>
      <c r="I55" s="221"/>
      <c r="J55" s="238"/>
      <c r="K55" s="321"/>
      <c r="L55" s="320"/>
      <c r="M55" s="219"/>
      <c r="N55" s="224"/>
      <c r="O55" s="221"/>
      <c r="P55" s="238"/>
      <c r="Q55" s="321"/>
      <c r="R55" s="225"/>
      <c r="S55" s="226"/>
      <c r="T55" s="227"/>
      <c r="U55" s="228"/>
      <c r="V55" s="229"/>
      <c r="W55" s="319"/>
      <c r="X55" s="230"/>
      <c r="Y55" s="231"/>
    </row>
    <row r="56" spans="1:25" ht="12.75">
      <c r="A56" s="156"/>
      <c r="B56" s="316"/>
      <c r="C56" s="242">
        <v>14</v>
      </c>
      <c r="D56" s="317" t="s">
        <v>143</v>
      </c>
      <c r="E56" s="318"/>
      <c r="W56" s="319"/>
      <c r="X56" s="230"/>
      <c r="Y56" s="231"/>
    </row>
    <row r="57" spans="1:25" ht="12.75">
      <c r="A57" s="156"/>
      <c r="B57" s="316"/>
      <c r="C57" s="242">
        <v>14</v>
      </c>
      <c r="D57" s="317" t="s">
        <v>143</v>
      </c>
      <c r="E57" s="318"/>
      <c r="F57" s="320"/>
      <c r="G57" s="219"/>
      <c r="H57" s="220"/>
      <c r="I57" s="221"/>
      <c r="J57" s="238"/>
      <c r="K57" s="321"/>
      <c r="L57" s="320"/>
      <c r="M57" s="219"/>
      <c r="N57" s="224"/>
      <c r="O57" s="221"/>
      <c r="P57" s="238"/>
      <c r="Q57" s="321"/>
      <c r="R57" s="225"/>
      <c r="S57" s="226"/>
      <c r="T57" s="227"/>
      <c r="U57" s="228"/>
      <c r="V57" s="229"/>
      <c r="W57" s="319"/>
      <c r="X57" s="230"/>
      <c r="Y57" s="231"/>
    </row>
    <row r="58" spans="1:25" ht="12.75">
      <c r="A58" s="156"/>
      <c r="B58" s="316"/>
      <c r="C58" s="242">
        <v>15</v>
      </c>
      <c r="D58" s="317" t="s">
        <v>144</v>
      </c>
      <c r="E58" s="318"/>
      <c r="F58" s="320">
        <v>38723</v>
      </c>
      <c r="G58" s="219">
        <v>8.059316569954868</v>
      </c>
      <c r="H58" s="220">
        <v>310.2</v>
      </c>
      <c r="I58" s="221">
        <v>1</v>
      </c>
      <c r="J58" s="238">
        <v>2500</v>
      </c>
      <c r="K58" s="321">
        <v>16</v>
      </c>
      <c r="L58" s="320">
        <v>38870</v>
      </c>
      <c r="M58" s="219">
        <v>8.059316569954868</v>
      </c>
      <c r="N58" s="224">
        <v>296.4</v>
      </c>
      <c r="O58" s="221">
        <v>1</v>
      </c>
      <c r="P58" s="238">
        <v>2388.7814313346225</v>
      </c>
      <c r="Q58" s="321">
        <v>15.721953578336556</v>
      </c>
      <c r="R58" s="225">
        <v>147</v>
      </c>
      <c r="S58" s="226">
        <v>-4.448742746615098</v>
      </c>
      <c r="T58" s="227">
        <v>-11.04619797628919</v>
      </c>
      <c r="U58" s="228">
        <v>-0.756588902485561</v>
      </c>
      <c r="V58" s="229">
        <v>-0.972384505059279</v>
      </c>
      <c r="W58" s="319"/>
      <c r="X58" s="230"/>
      <c r="Y58" s="231"/>
    </row>
    <row r="59" spans="1:25" ht="12.75">
      <c r="A59" s="156"/>
      <c r="B59" s="316"/>
      <c r="C59" s="242">
        <v>15</v>
      </c>
      <c r="D59" s="317" t="s">
        <v>144</v>
      </c>
      <c r="E59" s="318"/>
      <c r="F59" s="320">
        <v>39220</v>
      </c>
      <c r="G59" s="219">
        <v>7.783312577833126</v>
      </c>
      <c r="H59" s="220">
        <v>321.2</v>
      </c>
      <c r="I59" s="221">
        <v>1</v>
      </c>
      <c r="J59" s="238">
        <v>2500</v>
      </c>
      <c r="K59" s="321">
        <v>16</v>
      </c>
      <c r="L59" s="320">
        <v>39374</v>
      </c>
      <c r="M59" s="219">
        <v>7.783312577833126</v>
      </c>
      <c r="N59" s="224">
        <v>328.7</v>
      </c>
      <c r="O59" s="221">
        <v>1</v>
      </c>
      <c r="P59" s="238">
        <v>2558.3748443337486</v>
      </c>
      <c r="Q59" s="321">
        <v>16.14593711083437</v>
      </c>
      <c r="R59" s="225">
        <v>154</v>
      </c>
      <c r="S59" s="226">
        <v>2.334993773349936</v>
      </c>
      <c r="T59" s="227">
        <v>5.534238488783956</v>
      </c>
      <c r="U59" s="228">
        <v>0.3790574307386271</v>
      </c>
      <c r="V59" s="229">
        <v>0.17031757936957273</v>
      </c>
      <c r="W59" s="319"/>
      <c r="X59" s="230"/>
      <c r="Y59" s="231"/>
    </row>
    <row r="60" spans="1:25" ht="12.75">
      <c r="A60" s="156"/>
      <c r="B60" s="316"/>
      <c r="C60" s="242">
        <v>15</v>
      </c>
      <c r="D60" s="317" t="s">
        <v>144</v>
      </c>
      <c r="E60" s="318"/>
      <c r="F60" s="320"/>
      <c r="G60" s="219"/>
      <c r="H60" s="220"/>
      <c r="I60" s="221"/>
      <c r="J60" s="238"/>
      <c r="K60" s="321"/>
      <c r="L60" s="320"/>
      <c r="M60" s="219"/>
      <c r="N60" s="224"/>
      <c r="O60" s="221"/>
      <c r="P60" s="238"/>
      <c r="Q60" s="321"/>
      <c r="R60" s="225"/>
      <c r="S60" s="226"/>
      <c r="T60" s="227"/>
      <c r="U60" s="228"/>
      <c r="V60" s="229"/>
      <c r="W60" s="319"/>
      <c r="X60" s="230"/>
      <c r="Y60" s="231"/>
    </row>
    <row r="61" spans="1:25" ht="12.75">
      <c r="A61" s="156"/>
      <c r="B61" s="316"/>
      <c r="C61" s="242">
        <v>16</v>
      </c>
      <c r="D61" s="317" t="s">
        <v>145</v>
      </c>
      <c r="E61" s="318"/>
      <c r="F61" s="320">
        <v>38996</v>
      </c>
      <c r="G61" s="219">
        <v>8.716875871687586</v>
      </c>
      <c r="H61" s="220">
        <v>286.8</v>
      </c>
      <c r="I61" s="221">
        <v>1</v>
      </c>
      <c r="J61" s="238">
        <v>2500</v>
      </c>
      <c r="K61" s="321">
        <v>16</v>
      </c>
      <c r="L61" s="320">
        <v>39143</v>
      </c>
      <c r="M61" s="219">
        <v>8.716875871687586</v>
      </c>
      <c r="N61" s="224">
        <v>313</v>
      </c>
      <c r="O61" s="221">
        <v>1</v>
      </c>
      <c r="P61" s="238">
        <v>2728.382147838214</v>
      </c>
      <c r="Q61" s="321">
        <v>16.570955369595538</v>
      </c>
      <c r="R61" s="225">
        <v>147</v>
      </c>
      <c r="S61" s="226">
        <v>9.135285913528568</v>
      </c>
      <c r="T61" s="227">
        <v>22.682852778489305</v>
      </c>
      <c r="U61" s="228">
        <v>1.5536200533211852</v>
      </c>
      <c r="V61" s="229">
        <v>1.3320489283579502</v>
      </c>
      <c r="W61" s="319"/>
      <c r="X61" s="230"/>
      <c r="Y61" s="231"/>
    </row>
    <row r="62" spans="1:25" ht="12.75">
      <c r="A62" s="156"/>
      <c r="B62" s="316"/>
      <c r="C62" s="242">
        <v>16</v>
      </c>
      <c r="D62" s="317" t="s">
        <v>145</v>
      </c>
      <c r="E62" s="318"/>
      <c r="F62" s="320">
        <v>39346</v>
      </c>
      <c r="G62" s="219">
        <v>7.098239636570131</v>
      </c>
      <c r="H62" s="220">
        <v>352.2</v>
      </c>
      <c r="I62" s="221">
        <v>1</v>
      </c>
      <c r="J62" s="238">
        <v>2500</v>
      </c>
      <c r="K62" s="321">
        <v>16</v>
      </c>
      <c r="L62" s="320">
        <v>39479</v>
      </c>
      <c r="M62" s="219">
        <v>7.098239636570131</v>
      </c>
      <c r="N62" s="224">
        <v>344</v>
      </c>
      <c r="O62" s="221">
        <v>1</v>
      </c>
      <c r="P62" s="238">
        <v>2441.794434980125</v>
      </c>
      <c r="Q62" s="321">
        <v>15.854486087450312</v>
      </c>
      <c r="R62" s="225">
        <v>133</v>
      </c>
      <c r="S62" s="226">
        <v>-2.3282226007949935</v>
      </c>
      <c r="T62" s="227">
        <v>-6.38948307736973</v>
      </c>
      <c r="U62" s="228">
        <v>-0.4376358272171048</v>
      </c>
      <c r="V62" s="229">
        <v>-0.6771432414084605</v>
      </c>
      <c r="W62" s="319"/>
      <c r="X62" s="230"/>
      <c r="Y62" s="231"/>
    </row>
    <row r="63" spans="1:25" ht="12.75">
      <c r="A63" s="156"/>
      <c r="B63" s="316"/>
      <c r="C63" s="242">
        <v>16</v>
      </c>
      <c r="D63" s="317" t="s">
        <v>145</v>
      </c>
      <c r="E63" s="318"/>
      <c r="W63" s="319"/>
      <c r="X63" s="230"/>
      <c r="Y63" s="231"/>
    </row>
    <row r="64" spans="1:25" ht="12.75">
      <c r="A64" s="156"/>
      <c r="B64" s="316"/>
      <c r="C64" s="242">
        <v>17</v>
      </c>
      <c r="D64" s="317" t="s">
        <v>146</v>
      </c>
      <c r="E64" s="318"/>
      <c r="F64" s="320">
        <v>38982</v>
      </c>
      <c r="G64" s="219">
        <v>13.88888888888889</v>
      </c>
      <c r="H64" s="220">
        <v>180</v>
      </c>
      <c r="I64" s="221">
        <v>1</v>
      </c>
      <c r="J64" s="238">
        <v>2500</v>
      </c>
      <c r="K64" s="321">
        <v>16</v>
      </c>
      <c r="L64" s="320">
        <v>39204</v>
      </c>
      <c r="M64" s="219">
        <v>13.88888888888889</v>
      </c>
      <c r="N64" s="224">
        <v>225</v>
      </c>
      <c r="O64" s="221">
        <v>1</v>
      </c>
      <c r="P64" s="238">
        <v>3125</v>
      </c>
      <c r="Q64" s="321">
        <v>17.5625</v>
      </c>
      <c r="R64" s="225">
        <v>222</v>
      </c>
      <c r="S64" s="226">
        <v>25</v>
      </c>
      <c r="T64" s="227">
        <v>41.1036036036036</v>
      </c>
      <c r="U64" s="228">
        <v>2.815315315315315</v>
      </c>
      <c r="V64" s="229">
        <v>2.6641328828828827</v>
      </c>
      <c r="W64" s="319"/>
      <c r="X64" s="230"/>
      <c r="Y64" s="231"/>
    </row>
    <row r="65" spans="1:25" ht="12.75">
      <c r="A65" s="156"/>
      <c r="B65" s="316"/>
      <c r="C65" s="242">
        <v>17</v>
      </c>
      <c r="D65" s="317" t="s">
        <v>146</v>
      </c>
      <c r="E65" s="318"/>
      <c r="F65" s="320"/>
      <c r="G65" s="219"/>
      <c r="H65" s="220"/>
      <c r="I65" s="221"/>
      <c r="J65" s="238"/>
      <c r="K65" s="321"/>
      <c r="L65" s="320"/>
      <c r="M65" s="219"/>
      <c r="N65" s="224"/>
      <c r="O65" s="221"/>
      <c r="P65" s="238"/>
      <c r="Q65" s="321"/>
      <c r="R65" s="225"/>
      <c r="S65" s="226"/>
      <c r="T65" s="227"/>
      <c r="U65" s="228"/>
      <c r="V65" s="229"/>
      <c r="W65" s="319"/>
      <c r="X65" s="230"/>
      <c r="Y65" s="231"/>
    </row>
    <row r="66" spans="1:25" ht="12.75">
      <c r="A66" s="156"/>
      <c r="B66" s="316"/>
      <c r="C66" s="242">
        <v>17</v>
      </c>
      <c r="D66" s="317" t="s">
        <v>146</v>
      </c>
      <c r="E66" s="318"/>
      <c r="F66" s="320"/>
      <c r="G66" s="219"/>
      <c r="H66" s="220"/>
      <c r="I66" s="221"/>
      <c r="J66" s="238"/>
      <c r="K66" s="321"/>
      <c r="L66" s="320"/>
      <c r="M66" s="219"/>
      <c r="N66" s="224"/>
      <c r="O66" s="221"/>
      <c r="P66" s="238"/>
      <c r="Q66" s="321"/>
      <c r="R66" s="225"/>
      <c r="S66" s="226"/>
      <c r="T66" s="227"/>
      <c r="U66" s="228"/>
      <c r="V66" s="229"/>
      <c r="W66" s="319"/>
      <c r="X66" s="230"/>
      <c r="Y66" s="231"/>
    </row>
    <row r="67" spans="1:25" ht="12.75">
      <c r="A67" s="156"/>
      <c r="B67" s="316"/>
      <c r="C67" s="242">
        <v>18</v>
      </c>
      <c r="D67" s="317" t="s">
        <v>147</v>
      </c>
      <c r="E67" s="318"/>
      <c r="F67" s="320">
        <v>38730</v>
      </c>
      <c r="G67" s="219">
        <v>7.165376898824879</v>
      </c>
      <c r="H67" s="220">
        <v>348.9</v>
      </c>
      <c r="I67" s="221">
        <v>1</v>
      </c>
      <c r="J67" s="238">
        <v>2500</v>
      </c>
      <c r="K67" s="321">
        <v>16</v>
      </c>
      <c r="L67" s="320">
        <v>39465</v>
      </c>
      <c r="M67" s="219">
        <v>7.165376898824879</v>
      </c>
      <c r="N67" s="224">
        <v>524.4</v>
      </c>
      <c r="O67" s="221">
        <v>1</v>
      </c>
      <c r="P67" s="238">
        <v>3757.5236457437663</v>
      </c>
      <c r="Q67" s="321">
        <v>19.143809114359414</v>
      </c>
      <c r="R67" s="225">
        <v>735</v>
      </c>
      <c r="S67" s="226">
        <v>50.300945829750646</v>
      </c>
      <c r="T67" s="227">
        <v>24.979381262393183</v>
      </c>
      <c r="U67" s="228">
        <v>1.7109165248214508</v>
      </c>
      <c r="V67" s="229">
        <v>1.663101818543411</v>
      </c>
      <c r="W67" s="319"/>
      <c r="X67" s="230"/>
      <c r="Y67" s="231"/>
    </row>
    <row r="68" spans="1:25" ht="12.75">
      <c r="A68" s="156"/>
      <c r="B68" s="316"/>
      <c r="C68" s="242">
        <v>18</v>
      </c>
      <c r="D68" s="317" t="s">
        <v>147</v>
      </c>
      <c r="E68" s="318"/>
      <c r="F68" s="320"/>
      <c r="G68" s="219"/>
      <c r="H68" s="220"/>
      <c r="I68" s="221"/>
      <c r="J68" s="238"/>
      <c r="K68" s="321"/>
      <c r="L68" s="320"/>
      <c r="M68" s="219"/>
      <c r="N68" s="224"/>
      <c r="O68" s="221"/>
      <c r="P68" s="238"/>
      <c r="Q68" s="321"/>
      <c r="R68" s="225"/>
      <c r="S68" s="226"/>
      <c r="T68" s="227"/>
      <c r="U68" s="228"/>
      <c r="V68" s="229"/>
      <c r="W68" s="319"/>
      <c r="X68" s="230"/>
      <c r="Y68" s="231"/>
    </row>
    <row r="69" spans="1:25" ht="12.75">
      <c r="A69" s="156"/>
      <c r="B69" s="316"/>
      <c r="C69" s="242">
        <v>18</v>
      </c>
      <c r="D69" s="317" t="s">
        <v>147</v>
      </c>
      <c r="E69" s="318"/>
      <c r="F69" s="320"/>
      <c r="G69" s="219"/>
      <c r="H69" s="220"/>
      <c r="I69" s="221"/>
      <c r="J69" s="238"/>
      <c r="K69" s="321"/>
      <c r="L69" s="320"/>
      <c r="M69" s="219"/>
      <c r="N69" s="224"/>
      <c r="O69" s="221"/>
      <c r="P69" s="238"/>
      <c r="Q69" s="321"/>
      <c r="R69" s="225"/>
      <c r="S69" s="226"/>
      <c r="T69" s="227"/>
      <c r="U69" s="228"/>
      <c r="V69" s="229"/>
      <c r="W69" s="319"/>
      <c r="X69" s="230"/>
      <c r="Y69" s="231"/>
    </row>
    <row r="71" spans="6:22" ht="12.75">
      <c r="F71" s="218"/>
      <c r="G71" s="219"/>
      <c r="H71" s="220"/>
      <c r="I71" s="221"/>
      <c r="J71" s="222"/>
      <c r="K71" s="223"/>
      <c r="L71" s="218"/>
      <c r="M71" s="219"/>
      <c r="N71" s="224"/>
      <c r="O71" s="221"/>
      <c r="P71" s="222"/>
      <c r="Q71" s="223"/>
      <c r="R71" s="225"/>
      <c r="S71" s="226"/>
      <c r="T71" s="227"/>
      <c r="U71" s="228"/>
      <c r="V71" s="229"/>
    </row>
  </sheetData>
  <sheetProtection selectLockedCells="1" selectUnlockedCells="1"/>
  <mergeCells count="43">
    <mergeCell ref="R9:V9"/>
    <mergeCell ref="X10:Y10"/>
    <mergeCell ref="B9:B10"/>
    <mergeCell ref="C9:C10"/>
    <mergeCell ref="D9:D10"/>
    <mergeCell ref="E9:E10"/>
    <mergeCell ref="F9:K9"/>
    <mergeCell ref="L9:Q9"/>
    <mergeCell ref="W6:X6"/>
    <mergeCell ref="D7:O7"/>
    <mergeCell ref="P7:Q7"/>
    <mergeCell ref="R7:S7"/>
    <mergeCell ref="T7:X7"/>
    <mergeCell ref="D8:X8"/>
    <mergeCell ref="P5:Q5"/>
    <mergeCell ref="R5:S5"/>
    <mergeCell ref="U5:U6"/>
    <mergeCell ref="V5:V6"/>
    <mergeCell ref="G6:H6"/>
    <mergeCell ref="I6:J6"/>
    <mergeCell ref="L6:M6"/>
    <mergeCell ref="P6:Q6"/>
    <mergeCell ref="R6:S6"/>
    <mergeCell ref="P4:Q4"/>
    <mergeCell ref="R4:S4"/>
    <mergeCell ref="W4:X4"/>
    <mergeCell ref="D5:D6"/>
    <mergeCell ref="E5:E6"/>
    <mergeCell ref="G5:H5"/>
    <mergeCell ref="I5:J5"/>
    <mergeCell ref="K5:K6"/>
    <mergeCell ref="L5:M5"/>
    <mergeCell ref="N5:O6"/>
    <mergeCell ref="B1:C8"/>
    <mergeCell ref="D1:X1"/>
    <mergeCell ref="D2:X2"/>
    <mergeCell ref="G3:K3"/>
    <mergeCell ref="L3:O3"/>
    <mergeCell ref="P3:T3"/>
    <mergeCell ref="U3:U4"/>
    <mergeCell ref="V3:V4"/>
    <mergeCell ref="W3:X3"/>
    <mergeCell ref="I4:J4"/>
  </mergeCells>
  <printOptions gridLines="1"/>
  <pageMargins left="0.25" right="0.25" top="0.75" bottom="0.75" header="0.3" footer="0.3"/>
  <pageSetup fitToHeight="0" horizontalDpi="300" verticalDpi="300" orientation="landscape" paperSize="9" r:id="rId3"/>
  <headerFooter alignWithMargins="0">
    <oddHeader>&amp;L&amp;F&amp;C&amp;A&amp;RWG_&amp;D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zoomScale="115" zoomScaleNormal="115" zoomScalePageLayoutView="0" workbookViewId="0" topLeftCell="A1">
      <selection activeCell="B2" sqref="B2"/>
    </sheetView>
  </sheetViews>
  <sheetFormatPr defaultColWidth="11.421875" defaultRowHeight="12.75"/>
  <cols>
    <col min="1" max="1" width="26.7109375" style="0" customWidth="1"/>
    <col min="2" max="2" width="10.8515625" style="0" customWidth="1"/>
    <col min="3" max="3" width="9.8515625" style="0" customWidth="1"/>
    <col min="4" max="4" width="8.28125" style="0" customWidth="1"/>
    <col min="6" max="6" width="10.8515625" style="243" customWidth="1"/>
    <col min="7" max="7" width="0.5625" style="243" customWidth="1"/>
    <col min="8" max="8" width="6.57421875" style="243" customWidth="1"/>
    <col min="9" max="9" width="5.57421875" style="0" customWidth="1"/>
    <col min="10" max="10" width="4.421875" style="0" customWidth="1"/>
    <col min="12" max="12" width="4.00390625" style="0" customWidth="1"/>
    <col min="13" max="13" width="9.140625" style="0" customWidth="1"/>
    <col min="14" max="14" width="4.57421875" style="0" customWidth="1"/>
    <col min="15" max="15" width="6.7109375" style="0" customWidth="1"/>
    <col min="16" max="16" width="7.7109375" style="0" customWidth="1"/>
    <col min="17" max="17" width="6.8515625" style="0" customWidth="1"/>
    <col min="18" max="18" width="5.7109375" style="0" customWidth="1"/>
    <col min="19" max="19" width="4.57421875" style="0" customWidth="1"/>
    <col min="20" max="20" width="4.28125" style="0" customWidth="1"/>
  </cols>
  <sheetData>
    <row r="1" spans="1:7" ht="12.75">
      <c r="A1" s="244"/>
      <c r="B1" s="245">
        <v>40053</v>
      </c>
      <c r="C1" s="246"/>
      <c r="D1" s="246"/>
      <c r="E1" s="246"/>
      <c r="F1" s="247"/>
      <c r="G1" s="248"/>
    </row>
    <row r="2" spans="1:18" ht="12.75">
      <c r="A2" s="244" t="s">
        <v>111</v>
      </c>
      <c r="B2" s="246" t="s">
        <v>112</v>
      </c>
      <c r="C2" s="246" t="s">
        <v>113</v>
      </c>
      <c r="D2" s="246" t="s">
        <v>114</v>
      </c>
      <c r="E2" s="246" t="s">
        <v>115</v>
      </c>
      <c r="F2" s="247" t="s">
        <v>116</v>
      </c>
      <c r="G2" s="248"/>
      <c r="H2" s="192"/>
      <c r="I2" s="192"/>
      <c r="J2" s="192"/>
      <c r="K2" s="180"/>
      <c r="L2" s="249"/>
      <c r="O2" s="180"/>
      <c r="P2" s="12"/>
      <c r="Q2" s="250"/>
      <c r="R2" s="12"/>
    </row>
    <row r="3" spans="1:21" ht="12.75">
      <c r="A3" s="251"/>
      <c r="B3" s="252"/>
      <c r="C3" s="253"/>
      <c r="D3" s="252"/>
      <c r="E3" s="252"/>
      <c r="F3" s="254"/>
      <c r="G3" s="255"/>
      <c r="H3" s="192"/>
      <c r="I3" s="192"/>
      <c r="J3" s="192"/>
      <c r="K3" s="180"/>
      <c r="L3" s="249"/>
      <c r="N3" s="12"/>
      <c r="O3" s="180"/>
      <c r="P3" s="12"/>
      <c r="Q3" s="250"/>
      <c r="R3" s="12"/>
      <c r="S3" s="12"/>
      <c r="T3" s="12"/>
      <c r="U3" s="12"/>
    </row>
    <row r="4" spans="1:21" ht="12.75">
      <c r="A4" s="251"/>
      <c r="B4" s="256"/>
      <c r="C4" s="253"/>
      <c r="D4" s="252"/>
      <c r="E4" s="252"/>
      <c r="F4" s="254"/>
      <c r="G4" s="255"/>
      <c r="H4" s="192"/>
      <c r="I4" s="192"/>
      <c r="J4" s="192"/>
      <c r="K4" s="180"/>
      <c r="L4" s="249"/>
      <c r="N4" s="12"/>
      <c r="O4" s="180"/>
      <c r="P4" s="257"/>
      <c r="Q4" s="180"/>
      <c r="R4" s="258"/>
      <c r="S4" s="12"/>
      <c r="T4" s="12"/>
      <c r="U4" s="12"/>
    </row>
    <row r="5" spans="1:21" ht="12.75">
      <c r="A5" s="251"/>
      <c r="B5" s="252"/>
      <c r="C5" s="253"/>
      <c r="D5" s="252"/>
      <c r="E5" s="252"/>
      <c r="F5" s="254"/>
      <c r="G5" s="255"/>
      <c r="H5"/>
      <c r="K5" s="180"/>
      <c r="L5" s="252"/>
      <c r="N5" s="12"/>
      <c r="O5" s="180"/>
      <c r="P5" s="257"/>
      <c r="Q5" s="180"/>
      <c r="R5" s="258"/>
      <c r="S5" s="257"/>
      <c r="T5" s="258"/>
      <c r="U5" s="12"/>
    </row>
    <row r="6" spans="1:21" ht="12.75">
      <c r="A6" s="251"/>
      <c r="B6" s="252"/>
      <c r="C6" s="253"/>
      <c r="D6" s="252"/>
      <c r="E6" s="252"/>
      <c r="F6" s="254"/>
      <c r="G6" s="255"/>
      <c r="H6"/>
      <c r="N6" s="12"/>
      <c r="O6" s="180"/>
      <c r="P6" s="180"/>
      <c r="Q6" s="180"/>
      <c r="R6" s="258"/>
      <c r="S6" s="12"/>
      <c r="T6" s="12"/>
      <c r="U6" s="12"/>
    </row>
    <row r="7" spans="1:21" ht="12.75">
      <c r="A7" s="251"/>
      <c r="B7" s="252"/>
      <c r="C7" s="253"/>
      <c r="D7" s="252"/>
      <c r="E7" s="252"/>
      <c r="F7" s="254"/>
      <c r="G7" s="255"/>
      <c r="H7"/>
      <c r="N7" s="12"/>
      <c r="O7" s="180"/>
      <c r="P7" s="180"/>
      <c r="Q7" s="180"/>
      <c r="R7" s="258"/>
      <c r="S7" s="12"/>
      <c r="T7" s="12"/>
      <c r="U7" s="12"/>
    </row>
    <row r="8" spans="1:21" ht="12.75">
      <c r="A8" s="251"/>
      <c r="B8" s="252"/>
      <c r="C8" s="253"/>
      <c r="D8" s="252"/>
      <c r="E8" s="252"/>
      <c r="F8" s="254"/>
      <c r="G8" s="255"/>
      <c r="H8"/>
      <c r="N8" s="12"/>
      <c r="O8" s="180"/>
      <c r="P8" s="180"/>
      <c r="Q8" s="180"/>
      <c r="R8" s="258"/>
      <c r="S8" s="12"/>
      <c r="T8" s="12"/>
      <c r="U8" s="12"/>
    </row>
    <row r="9" spans="1:21" ht="12.75">
      <c r="A9" s="251"/>
      <c r="B9" s="252"/>
      <c r="C9" s="253"/>
      <c r="D9" s="252"/>
      <c r="E9" s="252"/>
      <c r="F9" s="254"/>
      <c r="G9" s="255"/>
      <c r="H9"/>
      <c r="N9" s="12"/>
      <c r="O9" s="180"/>
      <c r="P9" s="180"/>
      <c r="Q9" s="180"/>
      <c r="R9" s="258"/>
      <c r="S9" s="12"/>
      <c r="T9" s="12"/>
      <c r="U9" s="12"/>
    </row>
    <row r="10" spans="1:21" ht="12.75">
      <c r="A10" s="251"/>
      <c r="B10" s="252"/>
      <c r="C10" s="253"/>
      <c r="D10" s="252"/>
      <c r="E10" s="252"/>
      <c r="F10" s="254"/>
      <c r="G10" s="255"/>
      <c r="H10"/>
      <c r="N10" s="12"/>
      <c r="O10" s="180"/>
      <c r="P10" s="180"/>
      <c r="Q10" s="180"/>
      <c r="R10" s="258"/>
      <c r="S10" s="12"/>
      <c r="T10" s="12"/>
      <c r="U10" s="12"/>
    </row>
    <row r="11" spans="1:21" ht="12.75">
      <c r="A11" s="251"/>
      <c r="B11" s="252"/>
      <c r="C11" s="253"/>
      <c r="D11" s="252"/>
      <c r="E11" s="252"/>
      <c r="F11" s="254"/>
      <c r="G11" s="255"/>
      <c r="H11"/>
      <c r="N11" s="12"/>
      <c r="O11" s="180"/>
      <c r="P11" s="180"/>
      <c r="Q11" s="180"/>
      <c r="R11" s="258"/>
      <c r="S11" s="12"/>
      <c r="T11" s="12"/>
      <c r="U11" s="12"/>
    </row>
    <row r="12" spans="1:21" ht="12.75">
      <c r="A12" s="251"/>
      <c r="B12" s="252"/>
      <c r="C12" s="253"/>
      <c r="D12" s="252"/>
      <c r="E12" s="252"/>
      <c r="F12" s="254"/>
      <c r="G12" s="255"/>
      <c r="H12"/>
      <c r="N12" s="12"/>
      <c r="O12" s="180"/>
      <c r="P12" s="180"/>
      <c r="Q12" s="180"/>
      <c r="R12" s="258"/>
      <c r="S12" s="12"/>
      <c r="T12" s="12"/>
      <c r="U12" s="12"/>
    </row>
    <row r="13" spans="1:21" ht="12.75">
      <c r="A13" s="251"/>
      <c r="B13" s="252"/>
      <c r="C13" s="253"/>
      <c r="D13" s="252"/>
      <c r="E13" s="252"/>
      <c r="F13" s="254"/>
      <c r="G13" s="255"/>
      <c r="H13"/>
      <c r="N13" s="12"/>
      <c r="O13" s="180"/>
      <c r="P13" s="180"/>
      <c r="Q13" s="180"/>
      <c r="R13" s="258"/>
      <c r="S13" s="12"/>
      <c r="T13" s="12"/>
      <c r="U13" s="12"/>
    </row>
    <row r="14" spans="1:21" ht="12.75">
      <c r="A14" s="251"/>
      <c r="B14" s="252"/>
      <c r="C14" s="253"/>
      <c r="D14" s="252"/>
      <c r="E14" s="252"/>
      <c r="F14" s="254"/>
      <c r="G14" s="255"/>
      <c r="H14"/>
      <c r="N14" s="12"/>
      <c r="O14" s="180"/>
      <c r="P14" s="180"/>
      <c r="Q14" s="180"/>
      <c r="R14" s="258"/>
      <c r="S14" s="12"/>
      <c r="T14" s="12"/>
      <c r="U14" s="12"/>
    </row>
    <row r="15" spans="1:12" ht="12.75">
      <c r="A15" s="251"/>
      <c r="B15" s="252"/>
      <c r="C15" s="253"/>
      <c r="D15" s="252"/>
      <c r="E15" s="252"/>
      <c r="F15" s="259"/>
      <c r="G15" s="255"/>
      <c r="H15"/>
      <c r="L15" s="234"/>
    </row>
    <row r="16" spans="1:8" ht="12.75">
      <c r="A16" s="251"/>
      <c r="B16" s="252"/>
      <c r="C16" s="253"/>
      <c r="D16" s="252"/>
      <c r="E16" s="252"/>
      <c r="F16" s="254"/>
      <c r="G16" s="255"/>
      <c r="H16"/>
    </row>
    <row r="17" spans="1:12" ht="12.75">
      <c r="A17" s="251"/>
      <c r="B17" s="252"/>
      <c r="C17" s="253"/>
      <c r="D17" s="252"/>
      <c r="E17" s="252"/>
      <c r="F17" s="254"/>
      <c r="G17" s="255"/>
      <c r="H17"/>
      <c r="K17" s="180"/>
      <c r="L17" s="252"/>
    </row>
    <row r="18" spans="1:12" ht="12.75">
      <c r="A18" s="251"/>
      <c r="B18" s="252"/>
      <c r="C18" s="253"/>
      <c r="D18" s="252"/>
      <c r="E18" s="252"/>
      <c r="F18" s="254"/>
      <c r="G18" s="255"/>
      <c r="H18"/>
      <c r="K18" s="180"/>
      <c r="L18" s="252"/>
    </row>
    <row r="19" spans="1:12" ht="12.75">
      <c r="A19" s="251"/>
      <c r="B19" s="252"/>
      <c r="C19" s="253"/>
      <c r="D19" s="252"/>
      <c r="E19" s="252"/>
      <c r="F19" s="254"/>
      <c r="G19" s="255"/>
      <c r="H19"/>
      <c r="K19" s="180"/>
      <c r="L19" s="252"/>
    </row>
    <row r="20" spans="1:12" ht="12.75">
      <c r="A20" s="251"/>
      <c r="B20" s="252"/>
      <c r="C20" s="253"/>
      <c r="D20" s="252"/>
      <c r="E20" s="252"/>
      <c r="F20" s="254"/>
      <c r="G20" s="255"/>
      <c r="H20"/>
      <c r="K20" s="180"/>
      <c r="L20" s="252"/>
    </row>
    <row r="27" spans="2:12" ht="12.75">
      <c r="B27">
        <f>+S27+SUM(Vendu!S54:S55)</f>
        <v>36.56603773584906</v>
      </c>
      <c r="F27" s="260"/>
      <c r="L27" s="23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24" sqref="A24"/>
    </sheetView>
  </sheetViews>
  <sheetFormatPr defaultColWidth="11.421875" defaultRowHeight="12.75"/>
  <sheetData>
    <row r="1" spans="1:256" ht="12.75">
      <c r="A1" t="e">
        <f>IF(#REF!,"AAAAAHfMPwA=",0)</f>
        <v>#REF!</v>
      </c>
      <c r="B1" t="e">
        <f>AND(#REF!,"AAAAAHfMPwE=")</f>
        <v>#REF!</v>
      </c>
      <c r="C1" t="e">
        <f>AND(#REF!,"AAAAAHfMPwI=")</f>
        <v>#REF!</v>
      </c>
      <c r="D1" t="e">
        <f>AND(#REF!,"AAAAAHfMPwM=")</f>
        <v>#REF!</v>
      </c>
      <c r="E1" t="e">
        <f>AND(#REF!,"AAAAAHfMPwQ=")</f>
        <v>#REF!</v>
      </c>
      <c r="F1" t="e">
        <f>AND(#REF!,"AAAAAHfMPwU=")</f>
        <v>#REF!</v>
      </c>
      <c r="G1" t="e">
        <f>AND(#REF!,"AAAAAHfMPwY=")</f>
        <v>#REF!</v>
      </c>
      <c r="H1" t="e">
        <f>AND(#REF!,"AAAAAHfMPwc=")</f>
        <v>#REF!</v>
      </c>
      <c r="I1" t="e">
        <f>IF(#REF!,"AAAAAHfMPwg=",0)</f>
        <v>#REF!</v>
      </c>
      <c r="J1" t="e">
        <f>IF(#REF!,"AAAAAHfMPwk=",0)</f>
        <v>#REF!</v>
      </c>
      <c r="K1" t="e">
        <f>IF(#REF!,"AAAAAHfMPwo=",0)</f>
        <v>#REF!</v>
      </c>
      <c r="L1" t="e">
        <f>IF(#REF!,"AAAAAHfMPws=",0)</f>
        <v>#REF!</v>
      </c>
      <c r="M1" t="e">
        <f>IF(#REF!,"AAAAAHfMPww=",0)</f>
        <v>#REF!</v>
      </c>
      <c r="N1" t="e">
        <f>IF(#REF!,"AAAAAHfMPw0=",0)</f>
        <v>#REF!</v>
      </c>
      <c r="O1" t="e">
        <f>IF(#REF!,"AAAAAHfMPw4=",0)</f>
        <v>#REF!</v>
      </c>
      <c r="P1" t="e">
        <f>IF(#REF!,"AAAAAHfMPw8=",0)</f>
        <v>#REF!</v>
      </c>
      <c r="Q1" t="e">
        <f>IF(#REF!,"AAAAAHfMPxA=",0)</f>
        <v>#REF!</v>
      </c>
      <c r="R1" t="e">
        <f>IF(#REF!,"AAAAAHfMPxE=",0)</f>
        <v>#REF!</v>
      </c>
      <c r="S1" t="e">
        <f>IF(#REF!,"AAAAAHfMPxI=",0)</f>
        <v>#REF!</v>
      </c>
      <c r="T1">
        <f>IF('Graph annuel'!1:1,"AAAAAHfMPxM=",0)</f>
        <v>0</v>
      </c>
      <c r="U1" t="e">
        <f>AND('Graph annuel'!A1,"AAAAAHfMPxQ=")</f>
        <v>#VALUE!</v>
      </c>
      <c r="V1" t="e">
        <f>AND('Graph annuel'!B1,"AAAAAHfMPxU=")</f>
        <v>#VALUE!</v>
      </c>
      <c r="W1" t="e">
        <f>AND('Graph annuel'!C1,"AAAAAHfMPxY=")</f>
        <v>#VALUE!</v>
      </c>
      <c r="X1" t="e">
        <f>AND('Graph annuel'!D1,"AAAAAHfMPxc=")</f>
        <v>#VALUE!</v>
      </c>
      <c r="Y1" t="e">
        <f>AND('Graph annuel'!E1,"AAAAAHfMPxg=")</f>
        <v>#VALUE!</v>
      </c>
      <c r="Z1" t="e">
        <f>AND('Graph annuel'!F1,"AAAAAHfMPxk=")</f>
        <v>#VALUE!</v>
      </c>
      <c r="AA1" t="e">
        <f>AND('Graph annuel'!G1,"AAAAAHfMPxo=")</f>
        <v>#VALUE!</v>
      </c>
      <c r="AB1" t="e">
        <f>AND('Graph annuel'!H1,"AAAAAHfMPxs=")</f>
        <v>#VALUE!</v>
      </c>
      <c r="AC1" t="e">
        <f>AND('Graph annuel'!I1,"AAAAAHfMPxw=")</f>
        <v>#VALUE!</v>
      </c>
      <c r="AD1" t="e">
        <f>AND('Graph annuel'!J1,"AAAAAHfMPx0=")</f>
        <v>#VALUE!</v>
      </c>
      <c r="AE1" t="e">
        <f>AND('Graph annuel'!K1,"AAAAAHfMPx4=")</f>
        <v>#VALUE!</v>
      </c>
      <c r="AF1">
        <f>IF('Graph annuel'!2:2,"AAAAAHfMPx8=",0)</f>
        <v>0</v>
      </c>
      <c r="AG1" t="e">
        <f>AND('Graph annuel'!A2,"AAAAAHfMPyA=")</f>
        <v>#VALUE!</v>
      </c>
      <c r="AH1" t="e">
        <f>AND('Graph annuel'!B2,"AAAAAHfMPyE=")</f>
        <v>#VALUE!</v>
      </c>
      <c r="AI1" t="e">
        <f>AND('Graph annuel'!C2,"AAAAAHfMPyI=")</f>
        <v>#VALUE!</v>
      </c>
      <c r="AJ1" t="e">
        <f>AND('Graph annuel'!D2,"AAAAAHfMPyM=")</f>
        <v>#VALUE!</v>
      </c>
      <c r="AK1" t="e">
        <f>AND('Graph annuel'!E2,"AAAAAHfMPyQ=")</f>
        <v>#VALUE!</v>
      </c>
      <c r="AL1" t="e">
        <f>AND('Graph annuel'!F2,"AAAAAHfMPyU=")</f>
        <v>#VALUE!</v>
      </c>
      <c r="AM1" t="e">
        <f>AND('Graph annuel'!G2,"AAAAAHfMPyY=")</f>
        <v>#VALUE!</v>
      </c>
      <c r="AN1" t="e">
        <f>AND('Graph annuel'!H2,"AAAAAHfMPyc=")</f>
        <v>#VALUE!</v>
      </c>
      <c r="AO1" t="e">
        <f>AND('Graph annuel'!I2,"AAAAAHfMPyg=")</f>
        <v>#VALUE!</v>
      </c>
      <c r="AP1" t="e">
        <f>AND('Graph annuel'!J2,"AAAAAHfMPyk=")</f>
        <v>#VALUE!</v>
      </c>
      <c r="AQ1" t="e">
        <f>AND('Graph annuel'!K2,"AAAAAHfMPyo=")</f>
        <v>#VALUE!</v>
      </c>
      <c r="AR1">
        <f>IF('Graph annuel'!3:3,"AAAAAHfMPys=",0)</f>
        <v>0</v>
      </c>
      <c r="AS1" t="e">
        <f>AND('Graph annuel'!A3,"AAAAAHfMPyw=")</f>
        <v>#VALUE!</v>
      </c>
      <c r="AT1" t="e">
        <f>AND('Graph annuel'!B3,"AAAAAHfMPy0=")</f>
        <v>#VALUE!</v>
      </c>
      <c r="AU1" t="e">
        <f>AND('Graph annuel'!C3,"AAAAAHfMPy4=")</f>
        <v>#VALUE!</v>
      </c>
      <c r="AV1" t="e">
        <f>AND('Graph annuel'!D3,"AAAAAHfMPy8=")</f>
        <v>#VALUE!</v>
      </c>
      <c r="AW1" t="e">
        <f>AND('Graph annuel'!E3,"AAAAAHfMPzA=")</f>
        <v>#VALUE!</v>
      </c>
      <c r="AX1" t="e">
        <f>AND('Graph annuel'!F3,"AAAAAHfMPzE=")</f>
        <v>#VALUE!</v>
      </c>
      <c r="AY1" t="e">
        <f>AND('Graph annuel'!G3,"AAAAAHfMPzI=")</f>
        <v>#VALUE!</v>
      </c>
      <c r="AZ1" t="e">
        <f>AND('Graph annuel'!H3,"AAAAAHfMPzM=")</f>
        <v>#VALUE!</v>
      </c>
      <c r="BA1">
        <f>IF('Graph annuel'!4:4,"AAAAAHfMPzQ=",0)</f>
        <v>0</v>
      </c>
      <c r="BB1" t="e">
        <f>AND('Graph annuel'!A4,"AAAAAHfMPzU=")</f>
        <v>#VALUE!</v>
      </c>
      <c r="BC1" t="e">
        <f>AND('Graph annuel'!B4,"AAAAAHfMPzY=")</f>
        <v>#VALUE!</v>
      </c>
      <c r="BD1" t="e">
        <f>AND('Graph annuel'!C4,"AAAAAHfMPzc=")</f>
        <v>#VALUE!</v>
      </c>
      <c r="BE1" t="e">
        <f>AND('Graph annuel'!D4,"AAAAAHfMPzg=")</f>
        <v>#VALUE!</v>
      </c>
      <c r="BF1" t="e">
        <f>AND('Graph annuel'!E4,"AAAAAHfMPzk=")</f>
        <v>#VALUE!</v>
      </c>
      <c r="BG1" t="e">
        <f>AND('Graph annuel'!F4,"AAAAAHfMPzo=")</f>
        <v>#VALUE!</v>
      </c>
      <c r="BH1" t="e">
        <f>AND('Graph annuel'!G4,"AAAAAHfMPzs=")</f>
        <v>#VALUE!</v>
      </c>
      <c r="BI1" t="e">
        <f>AND('Graph annuel'!H4,"AAAAAHfMPzw=")</f>
        <v>#VALUE!</v>
      </c>
      <c r="BJ1">
        <f>IF('Graph annuel'!5:5,"AAAAAHfMPz0=",0)</f>
        <v>0</v>
      </c>
      <c r="BK1" t="e">
        <f>AND('Graph annuel'!A5,"AAAAAHfMPz4=")</f>
        <v>#VALUE!</v>
      </c>
      <c r="BL1" t="e">
        <f>AND('Graph annuel'!B5,"AAAAAHfMPz8=")</f>
        <v>#VALUE!</v>
      </c>
      <c r="BM1" t="e">
        <f>AND('Graph annuel'!C5,"AAAAAHfMP0A=")</f>
        <v>#VALUE!</v>
      </c>
      <c r="BN1" t="e">
        <f>AND('Graph annuel'!D5,"AAAAAHfMP0E=")</f>
        <v>#VALUE!</v>
      </c>
      <c r="BO1" t="e">
        <f>AND('Graph annuel'!E5,"AAAAAHfMP0I=")</f>
        <v>#VALUE!</v>
      </c>
      <c r="BP1" t="e">
        <f>AND('Graph annuel'!F5,"AAAAAHfMP0M=")</f>
        <v>#VALUE!</v>
      </c>
      <c r="BQ1" t="e">
        <f>AND('Graph annuel'!G5,"AAAAAHfMP0Q=")</f>
        <v>#VALUE!</v>
      </c>
      <c r="BR1" t="e">
        <f>AND('Graph annuel'!H5,"AAAAAHfMP0U=")</f>
        <v>#VALUE!</v>
      </c>
      <c r="BS1">
        <f>IF('Graph annuel'!6:6,"AAAAAHfMP0Y=",0)</f>
        <v>0</v>
      </c>
      <c r="BT1" t="e">
        <f>AND('Graph annuel'!A6,"AAAAAHfMP0c=")</f>
        <v>#VALUE!</v>
      </c>
      <c r="BU1" t="e">
        <f>AND('Graph annuel'!B6,"AAAAAHfMP0g=")</f>
        <v>#VALUE!</v>
      </c>
      <c r="BV1" t="e">
        <f>AND('Graph annuel'!C6,"AAAAAHfMP0k=")</f>
        <v>#VALUE!</v>
      </c>
      <c r="BW1" t="e">
        <f>AND('Graph annuel'!D6,"AAAAAHfMP0o=")</f>
        <v>#VALUE!</v>
      </c>
      <c r="BX1" t="e">
        <f>AND('Graph annuel'!E6,"AAAAAHfMP0s=")</f>
        <v>#VALUE!</v>
      </c>
      <c r="BY1" t="e">
        <f>AND('Graph annuel'!F6,"AAAAAHfMP0w=")</f>
        <v>#VALUE!</v>
      </c>
      <c r="BZ1" t="e">
        <f>AND('Graph annuel'!G6,"AAAAAHfMP00=")</f>
        <v>#VALUE!</v>
      </c>
      <c r="CA1" t="e">
        <f>AND('Graph annuel'!H6,"AAAAAHfMP04=")</f>
        <v>#VALUE!</v>
      </c>
      <c r="CB1">
        <f>IF('Graph annuel'!A:A,"AAAAAHfMP08=",0)</f>
        <v>0</v>
      </c>
      <c r="CC1">
        <f>IF('Graph annuel'!B:B,"AAAAAHfMP1A=",0)</f>
        <v>0</v>
      </c>
      <c r="CD1">
        <f>IF('Graph annuel'!C:C,"AAAAAHfMP1E=",0)</f>
        <v>0</v>
      </c>
      <c r="CE1">
        <f>IF('Graph annuel'!D:D,"AAAAAHfMP1I=",0)</f>
        <v>0</v>
      </c>
      <c r="CF1">
        <f>IF('Graph annuel'!E:E,"AAAAAHfMP1M=",0)</f>
        <v>0</v>
      </c>
      <c r="CG1">
        <f>IF('Graph annuel'!F:F,"AAAAAHfMP1Q=",0)</f>
        <v>0</v>
      </c>
      <c r="CH1">
        <f>IF('Graph annuel'!G:G,"AAAAAHfMP1U=",0)</f>
        <v>0</v>
      </c>
      <c r="CI1">
        <f>IF('Graph annuel'!H:H,"AAAAAHfMP1Y=",0)</f>
        <v>0</v>
      </c>
      <c r="CJ1">
        <f>IF('Graph annuel'!I:I,"AAAAAHfMP1c=",0)</f>
        <v>0</v>
      </c>
      <c r="CK1">
        <f>IF('Graph annuel'!J:J,"AAAAAHfMP1g=",0)</f>
        <v>0</v>
      </c>
      <c r="CL1">
        <f>IF('Graph annuel'!K:K,"AAAAAHfMP1k=",0)</f>
        <v>0</v>
      </c>
      <c r="CM1">
        <f>IF(Evolution!1:1,"AAAAAHfMP1o=",0)</f>
        <v>0</v>
      </c>
      <c r="CN1" t="e">
        <f>AND(Evolution!A1,"AAAAAHfMP1s=")</f>
        <v>#VALUE!</v>
      </c>
      <c r="CO1" t="e">
        <f>AND(Evolution!B1,"AAAAAHfMP1w=")</f>
        <v>#VALUE!</v>
      </c>
      <c r="CP1" t="e">
        <f>AND(Evolution!C1,"AAAAAHfMP10=")</f>
        <v>#VALUE!</v>
      </c>
      <c r="CQ1" t="e">
        <f>AND(Evolution!D1,"AAAAAHfMP14=")</f>
        <v>#VALUE!</v>
      </c>
      <c r="CR1" t="e">
        <f>AND(Evolution!E1,"AAAAAHfMP18=")</f>
        <v>#VALUE!</v>
      </c>
      <c r="CS1" t="e">
        <f>AND(Evolution!F1,"AAAAAHfMP2A=")</f>
        <v>#VALUE!</v>
      </c>
      <c r="CT1" t="e">
        <f>AND(Evolution!G1,"AAAAAHfMP2E=")</f>
        <v>#VALUE!</v>
      </c>
      <c r="CU1" t="e">
        <f>AND(Evolution!H1,"AAAAAHfMP2I=")</f>
        <v>#VALUE!</v>
      </c>
      <c r="CV1" t="e">
        <f>AND(Evolution!I1,"AAAAAHfMP2M=")</f>
        <v>#VALUE!</v>
      </c>
      <c r="CW1" t="e">
        <f>AND(Evolution!J1,"AAAAAHfMP2Q=")</f>
        <v>#VALUE!</v>
      </c>
      <c r="CX1" t="e">
        <f>AND(Evolution!K1,"AAAAAHfMP2U=")</f>
        <v>#VALUE!</v>
      </c>
      <c r="CY1" t="e">
        <f>AND(Evolution!L1,"AAAAAHfMP2Y=")</f>
        <v>#VALUE!</v>
      </c>
      <c r="CZ1" t="e">
        <f>AND(Evolution!M1,"AAAAAHfMP2c=")</f>
        <v>#VALUE!</v>
      </c>
      <c r="DA1" t="e">
        <f>AND(Evolution!N1,"AAAAAHfMP2g=")</f>
        <v>#VALUE!</v>
      </c>
      <c r="DB1" t="e">
        <f>AND(Evolution!O1,"AAAAAHfMP2k=")</f>
        <v>#VALUE!</v>
      </c>
      <c r="DC1" t="e">
        <f>AND(Evolution!P1,"AAAAAHfMP2o=")</f>
        <v>#VALUE!</v>
      </c>
      <c r="DD1" t="e">
        <f>AND(Evolution!Q1,"AAAAAHfMP2s=")</f>
        <v>#VALUE!</v>
      </c>
      <c r="DE1" t="e">
        <f>AND(Evolution!R1,"AAAAAHfMP2w=")</f>
        <v>#VALUE!</v>
      </c>
      <c r="DF1" t="e">
        <f>AND(Evolution!S1,"AAAAAHfMP20=")</f>
        <v>#VALUE!</v>
      </c>
      <c r="DG1" t="e">
        <f>AND(Evolution!T1,"AAAAAHfMP24=")</f>
        <v>#VALUE!</v>
      </c>
      <c r="DH1" t="e">
        <f>AND(Evolution!U1,"AAAAAHfMP28=")</f>
        <v>#VALUE!</v>
      </c>
      <c r="DI1" t="e">
        <f>AND(Evolution!V1,"AAAAAHfMP3A=")</f>
        <v>#VALUE!</v>
      </c>
      <c r="DJ1" t="e">
        <f>AND(Evolution!W1,"AAAAAHfMP3E=")</f>
        <v>#VALUE!</v>
      </c>
      <c r="DK1">
        <f>IF(Evolution!2:2,"AAAAAHfMP3I=",0)</f>
        <v>0</v>
      </c>
      <c r="DL1" t="e">
        <f>AND(Evolution!A2,"AAAAAHfMP3M=")</f>
        <v>#VALUE!</v>
      </c>
      <c r="DM1" t="e">
        <f>AND(Evolution!B2,"AAAAAHfMP3Q=")</f>
        <v>#VALUE!</v>
      </c>
      <c r="DN1" t="e">
        <f>AND(Evolution!C2,"AAAAAHfMP3U=")</f>
        <v>#VALUE!</v>
      </c>
      <c r="DO1" t="e">
        <f>AND(Evolution!D2,"AAAAAHfMP3Y=")</f>
        <v>#VALUE!</v>
      </c>
      <c r="DP1" t="e">
        <f>AND(Evolution!E2,"AAAAAHfMP3c=")</f>
        <v>#VALUE!</v>
      </c>
      <c r="DQ1" t="e">
        <f>AND(Evolution!F2,"AAAAAHfMP3g=")</f>
        <v>#VALUE!</v>
      </c>
      <c r="DR1" t="e">
        <f>AND(Evolution!G2,"AAAAAHfMP3k=")</f>
        <v>#VALUE!</v>
      </c>
      <c r="DS1" t="e">
        <f>AND(Evolution!H2,"AAAAAHfMP3o=")</f>
        <v>#VALUE!</v>
      </c>
      <c r="DT1" t="e">
        <f>AND(Evolution!I2,"AAAAAHfMP3s=")</f>
        <v>#VALUE!</v>
      </c>
      <c r="DU1" t="e">
        <f>AND(Evolution!J2,"AAAAAHfMP3w=")</f>
        <v>#VALUE!</v>
      </c>
      <c r="DV1" t="e">
        <f>AND(Evolution!K2,"AAAAAHfMP30=")</f>
        <v>#VALUE!</v>
      </c>
      <c r="DW1" t="e">
        <f>AND(Evolution!L2,"AAAAAHfMP34=")</f>
        <v>#VALUE!</v>
      </c>
      <c r="DX1" t="e">
        <f>AND(Evolution!M2,"AAAAAHfMP38=")</f>
        <v>#VALUE!</v>
      </c>
      <c r="DY1" t="e">
        <f>AND(Evolution!N2,"AAAAAHfMP4A=")</f>
        <v>#VALUE!</v>
      </c>
      <c r="DZ1" t="e">
        <f>AND(Evolution!O2,"AAAAAHfMP4E=")</f>
        <v>#VALUE!</v>
      </c>
      <c r="EA1" t="e">
        <f>AND(Evolution!P2,"AAAAAHfMP4I=")</f>
        <v>#VALUE!</v>
      </c>
      <c r="EB1" t="e">
        <f>AND(Evolution!Q2,"AAAAAHfMP4M=")</f>
        <v>#VALUE!</v>
      </c>
      <c r="EC1" t="e">
        <f>AND(Evolution!R2,"AAAAAHfMP4Q=")</f>
        <v>#VALUE!</v>
      </c>
      <c r="ED1" t="e">
        <f>AND(Evolution!S2,"AAAAAHfMP4U=")</f>
        <v>#VALUE!</v>
      </c>
      <c r="EE1" t="e">
        <f>AND(Evolution!T2,"AAAAAHfMP4Y=")</f>
        <v>#VALUE!</v>
      </c>
      <c r="EF1" t="e">
        <f>AND(Evolution!U2,"AAAAAHfMP4c=")</f>
        <v>#VALUE!</v>
      </c>
      <c r="EG1" t="e">
        <f>AND(Evolution!V2,"AAAAAHfMP4g=")</f>
        <v>#VALUE!</v>
      </c>
      <c r="EH1" t="e">
        <f>AND(Evolution!W2,"AAAAAHfMP4k=")</f>
        <v>#VALUE!</v>
      </c>
      <c r="EI1">
        <f>IF(Evolution!3:3,"AAAAAHfMP4o=",0)</f>
        <v>0</v>
      </c>
      <c r="EJ1" t="e">
        <f>AND(Evolution!A3,"AAAAAHfMP4s=")</f>
        <v>#VALUE!</v>
      </c>
      <c r="EK1" t="e">
        <f>AND(Evolution!B3,"AAAAAHfMP4w=")</f>
        <v>#VALUE!</v>
      </c>
      <c r="EL1" t="e">
        <f>AND(Evolution!C3,"AAAAAHfMP40=")</f>
        <v>#VALUE!</v>
      </c>
      <c r="EM1" t="e">
        <f>AND(Evolution!D3,"AAAAAHfMP44=")</f>
        <v>#VALUE!</v>
      </c>
      <c r="EN1" t="e">
        <f>AND(Evolution!E3,"AAAAAHfMP48=")</f>
        <v>#VALUE!</v>
      </c>
      <c r="EO1" t="e">
        <f>AND(Evolution!F3,"AAAAAHfMP5A=")</f>
        <v>#VALUE!</v>
      </c>
      <c r="EP1" t="e">
        <f>AND(Evolution!G3,"AAAAAHfMP5E=")</f>
        <v>#VALUE!</v>
      </c>
      <c r="EQ1" t="e">
        <f>AND(Evolution!H3,"AAAAAHfMP5I=")</f>
        <v>#VALUE!</v>
      </c>
      <c r="ER1" t="e">
        <f>AND(Evolution!I3,"AAAAAHfMP5M=")</f>
        <v>#VALUE!</v>
      </c>
      <c r="ES1" t="e">
        <f>AND(Evolution!J3,"AAAAAHfMP5Q=")</f>
        <v>#VALUE!</v>
      </c>
      <c r="ET1" t="e">
        <f>AND(Evolution!K3,"AAAAAHfMP5U=")</f>
        <v>#VALUE!</v>
      </c>
      <c r="EU1" t="e">
        <f>AND(Evolution!L3,"AAAAAHfMP5Y=")</f>
        <v>#VALUE!</v>
      </c>
      <c r="EV1" t="e">
        <f>AND(Evolution!M3,"AAAAAHfMP5c=")</f>
        <v>#VALUE!</v>
      </c>
      <c r="EW1" t="e">
        <f>AND(Evolution!N3,"AAAAAHfMP5g=")</f>
        <v>#VALUE!</v>
      </c>
      <c r="EX1" t="e">
        <f>AND(Evolution!O3,"AAAAAHfMP5k=")</f>
        <v>#VALUE!</v>
      </c>
      <c r="EY1" t="e">
        <f>AND(Evolution!P3,"AAAAAHfMP5o=")</f>
        <v>#VALUE!</v>
      </c>
      <c r="EZ1" t="e">
        <f>AND(Evolution!Q3,"AAAAAHfMP5s=")</f>
        <v>#VALUE!</v>
      </c>
      <c r="FA1" t="e">
        <f>AND(Evolution!R3,"AAAAAHfMP5w=")</f>
        <v>#VALUE!</v>
      </c>
      <c r="FB1" t="e">
        <f>AND(Evolution!S3,"AAAAAHfMP50=")</f>
        <v>#VALUE!</v>
      </c>
      <c r="FC1" t="e">
        <f>AND(Evolution!T3,"AAAAAHfMP54=")</f>
        <v>#VALUE!</v>
      </c>
      <c r="FD1" t="e">
        <f>AND(Evolution!U3,"AAAAAHfMP58=")</f>
        <v>#VALUE!</v>
      </c>
      <c r="FE1" t="e">
        <f>AND(Evolution!V3,"AAAAAHfMP6A=")</f>
        <v>#VALUE!</v>
      </c>
      <c r="FF1" t="e">
        <f>AND(Evolution!W3,"AAAAAHfMP6E=")</f>
        <v>#VALUE!</v>
      </c>
      <c r="FG1">
        <f>IF(Evolution!4:4,"AAAAAHfMP6I=",0)</f>
        <v>0</v>
      </c>
      <c r="FH1" t="e">
        <f>AND(Evolution!A4,"AAAAAHfMP6M=")</f>
        <v>#VALUE!</v>
      </c>
      <c r="FI1" t="e">
        <f>AND(Evolution!B4,"AAAAAHfMP6Q=")</f>
        <v>#VALUE!</v>
      </c>
      <c r="FJ1" t="e">
        <f>AND(Evolution!C4,"AAAAAHfMP6U=")</f>
        <v>#VALUE!</v>
      </c>
      <c r="FK1" t="e">
        <f>AND(Evolution!D4,"AAAAAHfMP6Y=")</f>
        <v>#VALUE!</v>
      </c>
      <c r="FL1" t="e">
        <f>AND(Evolution!E4,"AAAAAHfMP6c=")</f>
        <v>#VALUE!</v>
      </c>
      <c r="FM1" t="e">
        <f>AND(Evolution!F4,"AAAAAHfMP6g=")</f>
        <v>#VALUE!</v>
      </c>
      <c r="FN1" t="e">
        <f>AND(Evolution!G4,"AAAAAHfMP6k=")</f>
        <v>#VALUE!</v>
      </c>
      <c r="FO1" t="e">
        <f>AND(Evolution!H4,"AAAAAHfMP6o=")</f>
        <v>#VALUE!</v>
      </c>
      <c r="FP1" t="e">
        <f>AND(Evolution!I4,"AAAAAHfMP6s=")</f>
        <v>#VALUE!</v>
      </c>
      <c r="FQ1" t="e">
        <f>AND(Evolution!J4,"AAAAAHfMP6w=")</f>
        <v>#VALUE!</v>
      </c>
      <c r="FR1" t="e">
        <f>AND(Evolution!K4,"AAAAAHfMP60=")</f>
        <v>#VALUE!</v>
      </c>
      <c r="FS1" t="e">
        <f>AND(Evolution!L4,"AAAAAHfMP64=")</f>
        <v>#VALUE!</v>
      </c>
      <c r="FT1" t="e">
        <f>AND(Evolution!M4,"AAAAAHfMP68=")</f>
        <v>#VALUE!</v>
      </c>
      <c r="FU1" t="e">
        <f>AND(Evolution!N4,"AAAAAHfMP7A=")</f>
        <v>#VALUE!</v>
      </c>
      <c r="FV1" t="e">
        <f>AND(Evolution!O4,"AAAAAHfMP7E=")</f>
        <v>#VALUE!</v>
      </c>
      <c r="FW1" t="e">
        <f>AND(Evolution!P4,"AAAAAHfMP7I=")</f>
        <v>#VALUE!</v>
      </c>
      <c r="FX1" t="e">
        <f>AND(Evolution!Q4,"AAAAAHfMP7M=")</f>
        <v>#VALUE!</v>
      </c>
      <c r="FY1" t="e">
        <f>AND(Evolution!R4,"AAAAAHfMP7Q=")</f>
        <v>#VALUE!</v>
      </c>
      <c r="FZ1" t="e">
        <f>AND(Evolution!S4,"AAAAAHfMP7U=")</f>
        <v>#VALUE!</v>
      </c>
      <c r="GA1" t="e">
        <f>AND(Evolution!T4,"AAAAAHfMP7Y=")</f>
        <v>#VALUE!</v>
      </c>
      <c r="GB1" t="e">
        <f>AND(Evolution!U4,"AAAAAHfMP7c=")</f>
        <v>#VALUE!</v>
      </c>
      <c r="GC1" t="e">
        <f>AND(Evolution!V4,"AAAAAHfMP7g=")</f>
        <v>#VALUE!</v>
      </c>
      <c r="GD1" t="e">
        <f>AND(Evolution!W4,"AAAAAHfMP7k=")</f>
        <v>#VALUE!</v>
      </c>
      <c r="GE1">
        <f>IF(Evolution!5:5,"AAAAAHfMP7o=",0)</f>
        <v>0</v>
      </c>
      <c r="GF1" t="e">
        <f>AND(Evolution!A5,"AAAAAHfMP7s=")</f>
        <v>#VALUE!</v>
      </c>
      <c r="GG1" t="e">
        <f>AND(Evolution!B5,"AAAAAHfMP7w=")</f>
        <v>#VALUE!</v>
      </c>
      <c r="GH1" t="e">
        <f>AND(Evolution!C5,"AAAAAHfMP70=")</f>
        <v>#VALUE!</v>
      </c>
      <c r="GI1" t="e">
        <f>AND(Evolution!D5,"AAAAAHfMP74=")</f>
        <v>#VALUE!</v>
      </c>
      <c r="GJ1" t="e">
        <f>AND(Evolution!E5,"AAAAAHfMP78=")</f>
        <v>#VALUE!</v>
      </c>
      <c r="GK1" t="e">
        <f>AND(Evolution!F5,"AAAAAHfMP8A=")</f>
        <v>#VALUE!</v>
      </c>
      <c r="GL1" t="e">
        <f>AND(Evolution!G5,"AAAAAHfMP8E=")</f>
        <v>#VALUE!</v>
      </c>
      <c r="GM1" t="e">
        <f>AND(Evolution!H5,"AAAAAHfMP8I=")</f>
        <v>#VALUE!</v>
      </c>
      <c r="GN1" t="e">
        <f>AND(Evolution!I5,"AAAAAHfMP8M=")</f>
        <v>#VALUE!</v>
      </c>
      <c r="GO1" t="e">
        <f>AND(Evolution!J5,"AAAAAHfMP8Q=")</f>
        <v>#VALUE!</v>
      </c>
      <c r="GP1" t="e">
        <f>AND(Evolution!K5,"AAAAAHfMP8U=")</f>
        <v>#VALUE!</v>
      </c>
      <c r="GQ1" t="e">
        <f>AND(Evolution!L5,"AAAAAHfMP8Y=")</f>
        <v>#VALUE!</v>
      </c>
      <c r="GR1" t="e">
        <f>AND(Evolution!M5,"AAAAAHfMP8c=")</f>
        <v>#VALUE!</v>
      </c>
      <c r="GS1" t="e">
        <f>AND(Evolution!N5,"AAAAAHfMP8g=")</f>
        <v>#VALUE!</v>
      </c>
      <c r="GT1" t="e">
        <f>AND(Evolution!O5,"AAAAAHfMP8k=")</f>
        <v>#VALUE!</v>
      </c>
      <c r="GU1" t="e">
        <f>AND(Evolution!P5,"AAAAAHfMP8o=")</f>
        <v>#VALUE!</v>
      </c>
      <c r="GV1" t="e">
        <f>AND(Evolution!Q5,"AAAAAHfMP8s=")</f>
        <v>#VALUE!</v>
      </c>
      <c r="GW1" t="e">
        <f>AND(Evolution!R5,"AAAAAHfMP8w=")</f>
        <v>#VALUE!</v>
      </c>
      <c r="GX1" t="e">
        <f>AND(Evolution!S5,"AAAAAHfMP80=")</f>
        <v>#VALUE!</v>
      </c>
      <c r="GY1" t="e">
        <f>AND(Evolution!T5,"AAAAAHfMP84=")</f>
        <v>#VALUE!</v>
      </c>
      <c r="GZ1" t="e">
        <f>AND(Evolution!U5,"AAAAAHfMP88=")</f>
        <v>#VALUE!</v>
      </c>
      <c r="HA1" t="e">
        <f>AND(Evolution!V5,"AAAAAHfMP9A=")</f>
        <v>#VALUE!</v>
      </c>
      <c r="HB1" t="e">
        <f>AND(Evolution!W5,"AAAAAHfMP9E=")</f>
        <v>#VALUE!</v>
      </c>
      <c r="HC1" t="e">
        <f>IF(Evolution!#REF!,"AAAAAHfMP9I=",0)</f>
        <v>#REF!</v>
      </c>
      <c r="HD1" t="e">
        <f>AND(Evolution!#REF!,"AAAAAHfMP9M=")</f>
        <v>#REF!</v>
      </c>
      <c r="HE1" t="e">
        <f>AND(Evolution!#REF!,"AAAAAHfMP9Q=")</f>
        <v>#REF!</v>
      </c>
      <c r="HF1" t="e">
        <f>AND(Evolution!#REF!,"AAAAAHfMP9U=")</f>
        <v>#REF!</v>
      </c>
      <c r="HG1" t="e">
        <f>AND(Evolution!#REF!,"AAAAAHfMP9Y=")</f>
        <v>#REF!</v>
      </c>
      <c r="HH1" t="e">
        <f>AND(Evolution!#REF!,"AAAAAHfMP9c=")</f>
        <v>#REF!</v>
      </c>
      <c r="HI1" t="e">
        <f>AND(Evolution!#REF!,"AAAAAHfMP9g=")</f>
        <v>#REF!</v>
      </c>
      <c r="HJ1" t="e">
        <f>AND(Evolution!#REF!,"AAAAAHfMP9k=")</f>
        <v>#REF!</v>
      </c>
      <c r="HK1" t="e">
        <f>AND(Evolution!#REF!,"AAAAAHfMP9o=")</f>
        <v>#REF!</v>
      </c>
      <c r="HL1" t="e">
        <f>AND(Evolution!#REF!,"AAAAAHfMP9s=")</f>
        <v>#REF!</v>
      </c>
      <c r="HM1" t="e">
        <f>AND(Evolution!#REF!,"AAAAAHfMP9w=")</f>
        <v>#REF!</v>
      </c>
      <c r="HN1" t="e">
        <f>AND(Evolution!#REF!,"AAAAAHfMP90=")</f>
        <v>#REF!</v>
      </c>
      <c r="HO1" t="e">
        <f>AND(Evolution!#REF!,"AAAAAHfMP94=")</f>
        <v>#REF!</v>
      </c>
      <c r="HP1" t="e">
        <f>AND(Evolution!#REF!,"AAAAAHfMP98=")</f>
        <v>#REF!</v>
      </c>
      <c r="HQ1" t="e">
        <f>AND(Evolution!#REF!,"AAAAAHfMP+A=")</f>
        <v>#REF!</v>
      </c>
      <c r="HR1" t="e">
        <f>AND(Evolution!#REF!,"AAAAAHfMP+E=")</f>
        <v>#REF!</v>
      </c>
      <c r="HS1" t="e">
        <f>AND(Evolution!#REF!,"AAAAAHfMP+I=")</f>
        <v>#REF!</v>
      </c>
      <c r="HT1" t="e">
        <f>AND(Evolution!#REF!,"AAAAAHfMP+M=")</f>
        <v>#REF!</v>
      </c>
      <c r="HU1" t="e">
        <f>AND(Evolution!#REF!,"AAAAAHfMP+Q=")</f>
        <v>#REF!</v>
      </c>
      <c r="HV1" t="e">
        <f>AND(Evolution!#REF!,"AAAAAHfMP+U=")</f>
        <v>#REF!</v>
      </c>
      <c r="HW1" t="e">
        <f>AND(Evolution!#REF!,"AAAAAHfMP+Y=")</f>
        <v>#REF!</v>
      </c>
      <c r="HX1" t="e">
        <f>AND(Evolution!#REF!,"AAAAAHfMP+c=")</f>
        <v>#REF!</v>
      </c>
      <c r="HY1" t="e">
        <f>AND(Evolution!#REF!,"AAAAAHfMP+g=")</f>
        <v>#REF!</v>
      </c>
      <c r="HZ1" t="e">
        <f>AND(Evolution!#REF!,"AAAAAHfMP+k=")</f>
        <v>#REF!</v>
      </c>
      <c r="IA1" t="e">
        <f>IF(Evolution!#REF!,"AAAAAHfMP+o=",0)</f>
        <v>#REF!</v>
      </c>
      <c r="IB1" t="e">
        <f>AND(Evolution!#REF!,"AAAAAHfMP+s=")</f>
        <v>#REF!</v>
      </c>
      <c r="IC1" t="e">
        <f>AND(Evolution!#REF!,"AAAAAHfMP+w=")</f>
        <v>#REF!</v>
      </c>
      <c r="ID1" t="e">
        <f>AND(Evolution!#REF!,"AAAAAHfMP+0=")</f>
        <v>#REF!</v>
      </c>
      <c r="IE1" t="e">
        <f>AND(Evolution!#REF!,"AAAAAHfMP+4=")</f>
        <v>#REF!</v>
      </c>
      <c r="IF1" t="e">
        <f>AND(Evolution!#REF!,"AAAAAHfMP+8=")</f>
        <v>#REF!</v>
      </c>
      <c r="IG1" t="e">
        <f>AND(Evolution!#REF!,"AAAAAHfMP/A=")</f>
        <v>#REF!</v>
      </c>
      <c r="IH1" t="e">
        <f>AND(Evolution!#REF!,"AAAAAHfMP/E=")</f>
        <v>#REF!</v>
      </c>
      <c r="II1" t="e">
        <f>AND(Evolution!#REF!,"AAAAAHfMP/I=")</f>
        <v>#REF!</v>
      </c>
      <c r="IJ1" t="e">
        <f>AND(Evolution!#REF!,"AAAAAHfMP/M=")</f>
        <v>#REF!</v>
      </c>
      <c r="IK1" t="e">
        <f>AND(Evolution!#REF!,"AAAAAHfMP/Q=")</f>
        <v>#REF!</v>
      </c>
      <c r="IL1" t="e">
        <f>AND(Evolution!#REF!,"AAAAAHfMP/U=")</f>
        <v>#REF!</v>
      </c>
      <c r="IM1" t="e">
        <f>AND(Evolution!#REF!,"AAAAAHfMP/Y=")</f>
        <v>#REF!</v>
      </c>
      <c r="IN1" t="e">
        <f>AND(Evolution!#REF!,"AAAAAHfMP/c=")</f>
        <v>#REF!</v>
      </c>
      <c r="IO1" t="e">
        <f>AND(Evolution!#REF!,"AAAAAHfMP/g=")</f>
        <v>#REF!</v>
      </c>
      <c r="IP1" t="e">
        <f>AND(Evolution!#REF!,"AAAAAHfMP/k=")</f>
        <v>#REF!</v>
      </c>
      <c r="IQ1" t="e">
        <f>AND(Evolution!#REF!,"AAAAAHfMP/o=")</f>
        <v>#REF!</v>
      </c>
      <c r="IR1" t="e">
        <f>AND(Evolution!#REF!,"AAAAAHfMP/s=")</f>
        <v>#REF!</v>
      </c>
      <c r="IS1" t="e">
        <f>AND(Evolution!#REF!,"AAAAAHfMP/w=")</f>
        <v>#REF!</v>
      </c>
      <c r="IT1" t="e">
        <f>AND(Evolution!#REF!,"AAAAAHfMP/0=")</f>
        <v>#REF!</v>
      </c>
      <c r="IU1" t="e">
        <f>AND(Evolution!#REF!,"AAAAAHfMP/4=")</f>
        <v>#REF!</v>
      </c>
      <c r="IV1" t="e">
        <f>AND(Evolution!#REF!,"AAAAAHfMP/8=")</f>
        <v>#REF!</v>
      </c>
    </row>
    <row r="2" spans="1:256" ht="12.75">
      <c r="A2" t="e">
        <f>AND(Evolution!#REF!,"AAAAAH6+fwA=")</f>
        <v>#REF!</v>
      </c>
      <c r="B2" t="e">
        <f>AND(Evolution!#REF!,"AAAAAH6+fwE=")</f>
        <v>#REF!</v>
      </c>
      <c r="C2" t="e">
        <f>IF(Evolution!#REF!,"AAAAAH6+fwI=",0)</f>
        <v>#REF!</v>
      </c>
      <c r="D2" t="e">
        <f>AND(Evolution!#REF!,"AAAAAH6+fwM=")</f>
        <v>#REF!</v>
      </c>
      <c r="E2" t="e">
        <f>AND(Evolution!#REF!,"AAAAAH6+fwQ=")</f>
        <v>#REF!</v>
      </c>
      <c r="F2" t="e">
        <f>AND(Evolution!#REF!,"AAAAAH6+fwU=")</f>
        <v>#REF!</v>
      </c>
      <c r="G2" t="e">
        <f>AND(Evolution!#REF!,"AAAAAH6+fwY=")</f>
        <v>#REF!</v>
      </c>
      <c r="H2" t="e">
        <f>AND(Evolution!#REF!,"AAAAAH6+fwc=")</f>
        <v>#REF!</v>
      </c>
      <c r="I2" t="e">
        <f>AND(Evolution!#REF!,"AAAAAH6+fwg=")</f>
        <v>#REF!</v>
      </c>
      <c r="J2" t="e">
        <f>AND(Evolution!#REF!,"AAAAAH6+fwk=")</f>
        <v>#REF!</v>
      </c>
      <c r="K2" t="e">
        <f>AND(Evolution!#REF!,"AAAAAH6+fwo=")</f>
        <v>#REF!</v>
      </c>
      <c r="L2" t="e">
        <f>AND(Evolution!#REF!,"AAAAAH6+fws=")</f>
        <v>#REF!</v>
      </c>
      <c r="M2" t="e">
        <f>AND(Evolution!#REF!,"AAAAAH6+fww=")</f>
        <v>#REF!</v>
      </c>
      <c r="N2" t="e">
        <f>AND(Evolution!#REF!,"AAAAAH6+fw0=")</f>
        <v>#REF!</v>
      </c>
      <c r="O2" t="e">
        <f>AND(Evolution!#REF!,"AAAAAH6+fw4=")</f>
        <v>#REF!</v>
      </c>
      <c r="P2" t="e">
        <f>AND(Evolution!#REF!,"AAAAAH6+fw8=")</f>
        <v>#REF!</v>
      </c>
      <c r="Q2" t="e">
        <f>AND(Evolution!#REF!,"AAAAAH6+fxA=")</f>
        <v>#REF!</v>
      </c>
      <c r="R2" t="e">
        <f>AND(Evolution!#REF!,"AAAAAH6+fxE=")</f>
        <v>#REF!</v>
      </c>
      <c r="S2" t="e">
        <f>AND(Evolution!#REF!,"AAAAAH6+fxI=")</f>
        <v>#REF!</v>
      </c>
      <c r="T2" t="e">
        <f>AND(Evolution!#REF!,"AAAAAH6+fxM=")</f>
        <v>#REF!</v>
      </c>
      <c r="U2" t="e">
        <f>AND(Evolution!#REF!,"AAAAAH6+fxQ=")</f>
        <v>#REF!</v>
      </c>
      <c r="V2" t="e">
        <f>AND(Evolution!#REF!,"AAAAAH6+fxU=")</f>
        <v>#REF!</v>
      </c>
      <c r="W2" t="e">
        <f>AND(Evolution!#REF!,"AAAAAH6+fxY=")</f>
        <v>#REF!</v>
      </c>
      <c r="X2" t="e">
        <f>AND(Evolution!#REF!,"AAAAAH6+fxc=")</f>
        <v>#REF!</v>
      </c>
      <c r="Y2" t="e">
        <f>AND(Evolution!#REF!,"AAAAAH6+fxg=")</f>
        <v>#REF!</v>
      </c>
      <c r="Z2" t="e">
        <f>AND(Evolution!#REF!,"AAAAAH6+fxk=")</f>
        <v>#REF!</v>
      </c>
      <c r="AA2" t="e">
        <f>IF(Evolution!#REF!,"AAAAAH6+fxo=",0)</f>
        <v>#REF!</v>
      </c>
      <c r="AB2" t="e">
        <f>AND(Evolution!#REF!,"AAAAAH6+fxs=")</f>
        <v>#REF!</v>
      </c>
      <c r="AC2" t="e">
        <f>AND(Evolution!#REF!,"AAAAAH6+fxw=")</f>
        <v>#REF!</v>
      </c>
      <c r="AD2" t="e">
        <f>AND(Evolution!#REF!,"AAAAAH6+fx0=")</f>
        <v>#REF!</v>
      </c>
      <c r="AE2" t="e">
        <f>AND(Evolution!#REF!,"AAAAAH6+fx4=")</f>
        <v>#REF!</v>
      </c>
      <c r="AF2" t="e">
        <f>AND(Evolution!#REF!,"AAAAAH6+fx8=")</f>
        <v>#REF!</v>
      </c>
      <c r="AG2" t="e">
        <f>AND(Evolution!#REF!,"AAAAAH6+fyA=")</f>
        <v>#REF!</v>
      </c>
      <c r="AH2" t="e">
        <f>AND(Evolution!#REF!,"AAAAAH6+fyE=")</f>
        <v>#REF!</v>
      </c>
      <c r="AI2" t="e">
        <f>AND(Evolution!#REF!,"AAAAAH6+fyI=")</f>
        <v>#REF!</v>
      </c>
      <c r="AJ2" t="e">
        <f>AND(Evolution!#REF!,"AAAAAH6+fyM=")</f>
        <v>#REF!</v>
      </c>
      <c r="AK2" t="e">
        <f>AND(Evolution!#REF!,"AAAAAH6+fyQ=")</f>
        <v>#REF!</v>
      </c>
      <c r="AL2" t="e">
        <f>AND(Evolution!#REF!,"AAAAAH6+fyU=")</f>
        <v>#REF!</v>
      </c>
      <c r="AM2" t="e">
        <f>AND(Evolution!#REF!,"AAAAAH6+fyY=")</f>
        <v>#REF!</v>
      </c>
      <c r="AN2" t="e">
        <f>AND(Evolution!#REF!,"AAAAAH6+fyc=")</f>
        <v>#REF!</v>
      </c>
      <c r="AO2" t="e">
        <f>AND(Evolution!#REF!,"AAAAAH6+fyg=")</f>
        <v>#REF!</v>
      </c>
      <c r="AP2" t="e">
        <f>AND(Evolution!#REF!,"AAAAAH6+fyk=")</f>
        <v>#REF!</v>
      </c>
      <c r="AQ2" t="e">
        <f>AND(Evolution!#REF!,"AAAAAH6+fyo=")</f>
        <v>#REF!</v>
      </c>
      <c r="AR2" t="e">
        <f>AND(Evolution!#REF!,"AAAAAH6+fys=")</f>
        <v>#REF!</v>
      </c>
      <c r="AS2" t="e">
        <f>AND(Evolution!#REF!,"AAAAAH6+fyw=")</f>
        <v>#REF!</v>
      </c>
      <c r="AT2" t="e">
        <f>AND(Evolution!#REF!,"AAAAAH6+fy0=")</f>
        <v>#REF!</v>
      </c>
      <c r="AU2" t="e">
        <f>AND(Evolution!#REF!,"AAAAAH6+fy4=")</f>
        <v>#REF!</v>
      </c>
      <c r="AV2" t="e">
        <f>AND(Evolution!#REF!,"AAAAAH6+fy8=")</f>
        <v>#REF!</v>
      </c>
      <c r="AW2" t="e">
        <f>AND(Evolution!#REF!,"AAAAAH6+fzA=")</f>
        <v>#REF!</v>
      </c>
      <c r="AX2" t="e">
        <f>AND(Evolution!#REF!,"AAAAAH6+fzE=")</f>
        <v>#REF!</v>
      </c>
      <c r="AY2" t="e">
        <f>IF(Evolution!#REF!,"AAAAAH6+fzI=",0)</f>
        <v>#REF!</v>
      </c>
      <c r="AZ2" t="e">
        <f>AND(Evolution!#REF!,"AAAAAH6+fzM=")</f>
        <v>#REF!</v>
      </c>
      <c r="BA2" t="e">
        <f>AND(Evolution!#REF!,"AAAAAH6+fzQ=")</f>
        <v>#REF!</v>
      </c>
      <c r="BB2" t="e">
        <f>AND(Evolution!#REF!,"AAAAAH6+fzU=")</f>
        <v>#REF!</v>
      </c>
      <c r="BC2" t="e">
        <f>AND(Evolution!#REF!,"AAAAAH6+fzY=")</f>
        <v>#REF!</v>
      </c>
      <c r="BD2" t="e">
        <f>AND(Evolution!#REF!,"AAAAAH6+fzc=")</f>
        <v>#REF!</v>
      </c>
      <c r="BE2" t="e">
        <f>AND(Evolution!#REF!,"AAAAAH6+fzg=")</f>
        <v>#REF!</v>
      </c>
      <c r="BF2" t="e">
        <f>AND(Evolution!#REF!,"AAAAAH6+fzk=")</f>
        <v>#REF!</v>
      </c>
      <c r="BG2" t="e">
        <f>AND(Evolution!#REF!,"AAAAAH6+fzo=")</f>
        <v>#REF!</v>
      </c>
      <c r="BH2" t="e">
        <f>AND(Evolution!#REF!,"AAAAAH6+fzs=")</f>
        <v>#REF!</v>
      </c>
      <c r="BI2" t="e">
        <f>AND(Evolution!#REF!,"AAAAAH6+fzw=")</f>
        <v>#REF!</v>
      </c>
      <c r="BJ2" t="e">
        <f>AND(Evolution!#REF!,"AAAAAH6+fz0=")</f>
        <v>#REF!</v>
      </c>
      <c r="BK2" t="e">
        <f>AND(Evolution!#REF!,"AAAAAH6+fz4=")</f>
        <v>#REF!</v>
      </c>
      <c r="BL2" t="e">
        <f>AND(Evolution!#REF!,"AAAAAH6+fz8=")</f>
        <v>#REF!</v>
      </c>
      <c r="BM2" t="e">
        <f>AND(Evolution!#REF!,"AAAAAH6+f0A=")</f>
        <v>#REF!</v>
      </c>
      <c r="BN2" t="e">
        <f>AND(Evolution!#REF!,"AAAAAH6+f0E=")</f>
        <v>#REF!</v>
      </c>
      <c r="BO2" t="e">
        <f>AND(Evolution!#REF!,"AAAAAH6+f0I=")</f>
        <v>#REF!</v>
      </c>
      <c r="BP2" t="e">
        <f>AND(Evolution!#REF!,"AAAAAH6+f0M=")</f>
        <v>#REF!</v>
      </c>
      <c r="BQ2" t="e">
        <f>AND(Evolution!#REF!,"AAAAAH6+f0Q=")</f>
        <v>#REF!</v>
      </c>
      <c r="BR2" t="e">
        <f>AND(Evolution!#REF!,"AAAAAH6+f0U=")</f>
        <v>#REF!</v>
      </c>
      <c r="BS2" t="e">
        <f>AND(Evolution!#REF!,"AAAAAH6+f0Y=")</f>
        <v>#REF!</v>
      </c>
      <c r="BT2" t="e">
        <f>AND(Evolution!#REF!,"AAAAAH6+f0c=")</f>
        <v>#REF!</v>
      </c>
      <c r="BU2" t="e">
        <f>AND(Evolution!#REF!,"AAAAAH6+f0g=")</f>
        <v>#REF!</v>
      </c>
      <c r="BV2" t="e">
        <f>AND(Evolution!#REF!,"AAAAAH6+f0k=")</f>
        <v>#REF!</v>
      </c>
      <c r="BW2">
        <f>IF(Evolution!7:7,"AAAAAH6+f0o=",0)</f>
        <v>0</v>
      </c>
      <c r="BX2" t="e">
        <f>AND(Evolution!A7,"AAAAAH6+f0s=")</f>
        <v>#VALUE!</v>
      </c>
      <c r="BY2" t="e">
        <f>AND(Evolution!B7,"AAAAAH6+f0w=")</f>
        <v>#VALUE!</v>
      </c>
      <c r="BZ2" t="e">
        <f>AND(Evolution!C7,"AAAAAH6+f00=")</f>
        <v>#VALUE!</v>
      </c>
      <c r="CA2" t="e">
        <f>AND(Evolution!D7,"AAAAAH6+f04=")</f>
        <v>#VALUE!</v>
      </c>
      <c r="CB2" t="e">
        <f>AND(Evolution!E7,"AAAAAH6+f08=")</f>
        <v>#VALUE!</v>
      </c>
      <c r="CC2" t="e">
        <f>AND(Evolution!F7,"AAAAAH6+f1A=")</f>
        <v>#VALUE!</v>
      </c>
      <c r="CD2" t="e">
        <f>AND(Evolution!G7,"AAAAAH6+f1E=")</f>
        <v>#VALUE!</v>
      </c>
      <c r="CE2" t="e">
        <f>AND(Evolution!H7,"AAAAAH6+f1I=")</f>
        <v>#VALUE!</v>
      </c>
      <c r="CF2" t="e">
        <f>AND(Evolution!I7,"AAAAAH6+f1M=")</f>
        <v>#VALUE!</v>
      </c>
      <c r="CG2" t="e">
        <f>AND(Evolution!J7,"AAAAAH6+f1Q=")</f>
        <v>#VALUE!</v>
      </c>
      <c r="CH2" t="e">
        <f>AND(Evolution!K7,"AAAAAH6+f1U=")</f>
        <v>#VALUE!</v>
      </c>
      <c r="CI2" t="e">
        <f>AND(Evolution!L7,"AAAAAH6+f1Y=")</f>
        <v>#VALUE!</v>
      </c>
      <c r="CJ2" t="e">
        <f>AND(Evolution!M7,"AAAAAH6+f1c=")</f>
        <v>#VALUE!</v>
      </c>
      <c r="CK2" t="e">
        <f>AND(Evolution!N7,"AAAAAH6+f1g=")</f>
        <v>#VALUE!</v>
      </c>
      <c r="CL2" t="e">
        <f>AND(Evolution!O7,"AAAAAH6+f1k=")</f>
        <v>#VALUE!</v>
      </c>
      <c r="CM2" t="e">
        <f>AND(Evolution!P7,"AAAAAH6+f1o=")</f>
        <v>#VALUE!</v>
      </c>
      <c r="CN2" t="e">
        <f>AND(Evolution!Q7,"AAAAAH6+f1s=")</f>
        <v>#VALUE!</v>
      </c>
      <c r="CO2" t="e">
        <f>AND(Evolution!R7,"AAAAAH6+f1w=")</f>
        <v>#VALUE!</v>
      </c>
      <c r="CP2" t="e">
        <f>AND(Evolution!S7,"AAAAAH6+f10=")</f>
        <v>#VALUE!</v>
      </c>
      <c r="CQ2" t="e">
        <f>AND(Evolution!T7,"AAAAAH6+f14=")</f>
        <v>#VALUE!</v>
      </c>
      <c r="CR2" t="e">
        <f>AND(Evolution!U7,"AAAAAH6+f18=")</f>
        <v>#VALUE!</v>
      </c>
      <c r="CS2" t="e">
        <f>AND(Evolution!V7,"AAAAAH6+f2A=")</f>
        <v>#VALUE!</v>
      </c>
      <c r="CT2" t="e">
        <f>AND(Evolution!W7,"AAAAAH6+f2E=")</f>
        <v>#VALUE!</v>
      </c>
      <c r="CU2">
        <f>IF(Evolution!8:8,"AAAAAH6+f2I=",0)</f>
        <v>0</v>
      </c>
      <c r="CV2">
        <f>IF(Evolution!9:9,"AAAAAH6+f2M=",0)</f>
        <v>0</v>
      </c>
      <c r="CW2">
        <f>IF(Evolution!10:10,"AAAAAH6+f2Q=",0)</f>
        <v>0</v>
      </c>
      <c r="CX2">
        <f>IF(Evolution!11:11,"AAAAAH6+f2U=",0)</f>
        <v>0</v>
      </c>
      <c r="CY2">
        <f>IF(Evolution!12:12,"AAAAAH6+f2Y=",0)</f>
        <v>0</v>
      </c>
      <c r="CZ2">
        <f>IF(Evolution!13:13,"AAAAAH6+f2c=",0)</f>
        <v>0</v>
      </c>
      <c r="DA2">
        <f>IF(Evolution!14:14,"AAAAAH6+f2g=",0)</f>
        <v>0</v>
      </c>
      <c r="DB2">
        <f>IF(Evolution!15:15,"AAAAAH6+f2k=",0)</f>
        <v>0</v>
      </c>
      <c r="DC2">
        <f>IF(Evolution!16:16,"AAAAAH6+f2o=",0)</f>
        <v>0</v>
      </c>
      <c r="DD2">
        <f>IF(Evolution!17:17,"AAAAAH6+f2s=",0)</f>
        <v>0</v>
      </c>
      <c r="DE2" t="e">
        <f>IF(Evolution!A:A,"AAAAAH6+f2w=",0)</f>
        <v>#VALUE!</v>
      </c>
      <c r="DF2" t="e">
        <f>IF(Evolution!B:B,"AAAAAH6+f20=",0)</f>
        <v>#VALUE!</v>
      </c>
      <c r="DG2" t="e">
        <f>IF(Evolution!C:C,"AAAAAH6+f24=",0)</f>
        <v>#VALUE!</v>
      </c>
      <c r="DH2" t="e">
        <f>IF(Evolution!D:D,"AAAAAH6+f28=",0)</f>
        <v>#VALUE!</v>
      </c>
      <c r="DI2">
        <f>IF(Evolution!E:E,"AAAAAH6+f3A=",0)</f>
        <v>0</v>
      </c>
      <c r="DJ2">
        <f>IF(Evolution!F:F,"AAAAAH6+f3E=",0)</f>
        <v>0</v>
      </c>
      <c r="DK2">
        <f>IF(Evolution!G:G,"AAAAAH6+f3I=",0)</f>
        <v>0</v>
      </c>
      <c r="DL2">
        <f>IF(Evolution!H:H,"AAAAAH6+f3M=",0)</f>
        <v>0</v>
      </c>
      <c r="DM2" t="e">
        <f>IF(Evolution!I:I,"AAAAAH6+f3Q=",0)</f>
        <v>#VALUE!</v>
      </c>
      <c r="DN2">
        <f>IF(Evolution!J:J,"AAAAAH6+f3U=",0)</f>
        <v>0</v>
      </c>
      <c r="DO2">
        <f>IF(Evolution!K:K,"AAAAAH6+f3Y=",0)</f>
        <v>0</v>
      </c>
      <c r="DP2">
        <f>IF(Evolution!L:L,"AAAAAH6+f3c=",0)</f>
        <v>0</v>
      </c>
      <c r="DQ2">
        <f>IF(Evolution!M:M,"AAAAAH6+f3g=",0)</f>
        <v>0</v>
      </c>
      <c r="DR2" t="e">
        <f>IF(Evolution!N:N,"AAAAAH6+f3k=",0)</f>
        <v>#VALUE!</v>
      </c>
      <c r="DS2" t="e">
        <f>IF(Evolution!O:O,"AAAAAH6+f3o=",0)</f>
        <v>#VALUE!</v>
      </c>
      <c r="DT2" t="e">
        <f>IF(Evolution!P:P,"AAAAAH6+f3s=",0)</f>
        <v>#VALUE!</v>
      </c>
      <c r="DU2">
        <f>IF(Evolution!Q:Q,"AAAAAH6+f3w=",0)</f>
        <v>0</v>
      </c>
      <c r="DV2">
        <f>IF(Evolution!R:R,"AAAAAH6+f30=",0)</f>
        <v>0</v>
      </c>
      <c r="DW2">
        <f>IF(Evolution!S:S,"AAAAAH6+f34=",0)</f>
        <v>0</v>
      </c>
      <c r="DX2">
        <f>IF(Evolution!T:T,"AAAAAH6+f38=",0)</f>
        <v>0</v>
      </c>
      <c r="DY2">
        <f>IF(Evolution!U:U,"AAAAAH6+f4A=",0)</f>
        <v>0</v>
      </c>
      <c r="DZ2">
        <f>IF(Evolution!V:V,"AAAAAH6+f4E=",0)</f>
        <v>0</v>
      </c>
      <c r="EA2">
        <f>IF(Evolution!W:W,"AAAAAH6+f4I=",0)</f>
        <v>0</v>
      </c>
      <c r="EB2">
        <f>IF(Bilan!1:1,"AAAAAH6+f4M=",0)</f>
        <v>0</v>
      </c>
      <c r="EC2" t="e">
        <f>AND(Bilan!B1,"AAAAAH6+f4Q=")</f>
        <v>#VALUE!</v>
      </c>
      <c r="ED2" t="e">
        <f>AND(Bilan!C1,"AAAAAH6+f4U=")</f>
        <v>#VALUE!</v>
      </c>
      <c r="EE2" t="e">
        <f>AND(Bilan!D1,"AAAAAH6+f4Y=")</f>
        <v>#VALUE!</v>
      </c>
      <c r="EF2" t="e">
        <f>AND(Bilan!E1,"AAAAAH6+f4c=")</f>
        <v>#VALUE!</v>
      </c>
      <c r="EG2" t="e">
        <f>AND(Bilan!F1,"AAAAAH6+f4g=")</f>
        <v>#VALUE!</v>
      </c>
      <c r="EH2" t="e">
        <f>AND(Bilan!G1,"AAAAAH6+f4k=")</f>
        <v>#VALUE!</v>
      </c>
      <c r="EI2" t="e">
        <f>AND(Bilan!H1,"AAAAAH6+f4o=")</f>
        <v>#VALUE!</v>
      </c>
      <c r="EJ2" t="e">
        <f>AND(Bilan!I1,"AAAAAH6+f4s=")</f>
        <v>#VALUE!</v>
      </c>
      <c r="EK2" t="e">
        <f>AND(Bilan!J1,"AAAAAH6+f4w=")</f>
        <v>#VALUE!</v>
      </c>
      <c r="EL2" t="e">
        <f>AND(Bilan!K1,"AAAAAH6+f40=")</f>
        <v>#VALUE!</v>
      </c>
      <c r="EM2" t="e">
        <f>AND(Bilan!L1,"AAAAAH6+f44=")</f>
        <v>#VALUE!</v>
      </c>
      <c r="EN2" t="e">
        <f>AND(Bilan!M1,"AAAAAH6+f48=")</f>
        <v>#VALUE!</v>
      </c>
      <c r="EO2" t="e">
        <f>AND(Bilan!N1,"AAAAAH6+f5A=")</f>
        <v>#VALUE!</v>
      </c>
      <c r="EP2" t="e">
        <f>AND(Bilan!O1,"AAAAAH6+f5E=")</f>
        <v>#VALUE!</v>
      </c>
      <c r="EQ2" t="e">
        <f>AND(Bilan!P1,"AAAAAH6+f5I=")</f>
        <v>#VALUE!</v>
      </c>
      <c r="ER2" t="e">
        <f>AND(Bilan!Q1,"AAAAAH6+f5M=")</f>
        <v>#VALUE!</v>
      </c>
      <c r="ES2">
        <f>IF(Bilan!2:2,"AAAAAH6+f5Q=",0)</f>
        <v>0</v>
      </c>
      <c r="ET2" t="e">
        <f>AND(Bilan!B2,"AAAAAH6+f5U=")</f>
        <v>#VALUE!</v>
      </c>
      <c r="EU2" t="e">
        <f>AND(Bilan!C2,"AAAAAH6+f5Y=")</f>
        <v>#VALUE!</v>
      </c>
      <c r="EV2" t="e">
        <f>AND(Bilan!D2,"AAAAAH6+f5c=")</f>
        <v>#VALUE!</v>
      </c>
      <c r="EW2" t="e">
        <f>AND(Bilan!E2,"AAAAAH6+f5g=")</f>
        <v>#VALUE!</v>
      </c>
      <c r="EX2" t="e">
        <f>AND(Bilan!F2,"AAAAAH6+f5k=")</f>
        <v>#VALUE!</v>
      </c>
      <c r="EY2" t="e">
        <f>AND(Bilan!G2,"AAAAAH6+f5o=")</f>
        <v>#VALUE!</v>
      </c>
      <c r="EZ2" t="e">
        <f>AND(Bilan!H2,"AAAAAH6+f5s=")</f>
        <v>#VALUE!</v>
      </c>
      <c r="FA2" t="e">
        <f>AND(Bilan!I2,"AAAAAH6+f5w=")</f>
        <v>#VALUE!</v>
      </c>
      <c r="FB2" t="e">
        <f>AND(Bilan!J2,"AAAAAH6+f50=")</f>
        <v>#VALUE!</v>
      </c>
      <c r="FC2" t="e">
        <f>AND(Bilan!K2,"AAAAAH6+f54=")</f>
        <v>#VALUE!</v>
      </c>
      <c r="FD2" t="e">
        <f>AND(Bilan!L2,"AAAAAH6+f58=")</f>
        <v>#VALUE!</v>
      </c>
      <c r="FE2" t="e">
        <f>AND(Bilan!M2,"AAAAAH6+f6A=")</f>
        <v>#VALUE!</v>
      </c>
      <c r="FF2" t="e">
        <f>AND(Bilan!N2,"AAAAAH6+f6E=")</f>
        <v>#VALUE!</v>
      </c>
      <c r="FG2" t="e">
        <f>AND(Bilan!O2,"AAAAAH6+f6I=")</f>
        <v>#VALUE!</v>
      </c>
      <c r="FH2" t="e">
        <f>AND(Bilan!P2,"AAAAAH6+f6M=")</f>
        <v>#VALUE!</v>
      </c>
      <c r="FI2" t="e">
        <f>AND(Bilan!Q2,"AAAAAH6+f6Q=")</f>
        <v>#VALUE!</v>
      </c>
      <c r="FJ2">
        <f>IF(Bilan!3:3,"AAAAAH6+f6U=",0)</f>
        <v>0</v>
      </c>
      <c r="FK2" t="e">
        <f>AND(Bilan!B3,"AAAAAH6+f6Y=")</f>
        <v>#VALUE!</v>
      </c>
      <c r="FL2" t="e">
        <f>AND(Bilan!C3,"AAAAAH6+f6c=")</f>
        <v>#VALUE!</v>
      </c>
      <c r="FM2" t="e">
        <f>AND(Bilan!D3,"AAAAAH6+f6g=")</f>
        <v>#VALUE!</v>
      </c>
      <c r="FN2" t="e">
        <f>AND(Bilan!E3,"AAAAAH6+f6k=")</f>
        <v>#VALUE!</v>
      </c>
      <c r="FO2" t="e">
        <f>AND(Bilan!F3,"AAAAAH6+f6o=")</f>
        <v>#VALUE!</v>
      </c>
      <c r="FP2" t="e">
        <f>AND(Bilan!G3,"AAAAAH6+f6s=")</f>
        <v>#VALUE!</v>
      </c>
      <c r="FQ2" t="e">
        <f>AND(Bilan!H3,"AAAAAH6+f6w=")</f>
        <v>#VALUE!</v>
      </c>
      <c r="FR2" t="e">
        <f>AND(Bilan!I3,"AAAAAH6+f60=")</f>
        <v>#VALUE!</v>
      </c>
      <c r="FS2" t="e">
        <f>AND(Bilan!J3,"AAAAAH6+f64=")</f>
        <v>#VALUE!</v>
      </c>
      <c r="FT2" t="e">
        <f>AND(Bilan!K3,"AAAAAH6+f68=")</f>
        <v>#VALUE!</v>
      </c>
      <c r="FU2" t="e">
        <f>AND(Bilan!L3,"AAAAAH6+f7A=")</f>
        <v>#VALUE!</v>
      </c>
      <c r="FV2" t="e">
        <f>AND(Bilan!M3,"AAAAAH6+f7E=")</f>
        <v>#VALUE!</v>
      </c>
      <c r="FW2" t="e">
        <f>AND(Bilan!N3,"AAAAAH6+f7I=")</f>
        <v>#VALUE!</v>
      </c>
      <c r="FX2" t="e">
        <f>AND(Bilan!O3,"AAAAAH6+f7M=")</f>
        <v>#VALUE!</v>
      </c>
      <c r="FY2" t="e">
        <f>AND(Bilan!P3,"AAAAAH6+f7Q=")</f>
        <v>#VALUE!</v>
      </c>
      <c r="FZ2" t="e">
        <f>AND(Bilan!Q3,"AAAAAH6+f7U=")</f>
        <v>#VALUE!</v>
      </c>
      <c r="GA2">
        <f>IF(Bilan!4:4,"AAAAAH6+f7Y=",0)</f>
        <v>0</v>
      </c>
      <c r="GB2" t="e">
        <f>AND(Bilan!B4,"AAAAAH6+f7c=")</f>
        <v>#VALUE!</v>
      </c>
      <c r="GC2" t="e">
        <f>AND(Bilan!C4,"AAAAAH6+f7g=")</f>
        <v>#VALUE!</v>
      </c>
      <c r="GD2" t="e">
        <f>AND(Bilan!D4,"AAAAAH6+f7k=")</f>
        <v>#VALUE!</v>
      </c>
      <c r="GE2" t="e">
        <f>AND(Bilan!E4,"AAAAAH6+f7o=")</f>
        <v>#VALUE!</v>
      </c>
      <c r="GF2" t="e">
        <f>AND(Bilan!F4,"AAAAAH6+f7s=")</f>
        <v>#VALUE!</v>
      </c>
      <c r="GG2" t="e">
        <f>AND(Bilan!G4,"AAAAAH6+f7w=")</f>
        <v>#VALUE!</v>
      </c>
      <c r="GH2" t="e">
        <f>AND(Bilan!H4,"AAAAAH6+f70=")</f>
        <v>#VALUE!</v>
      </c>
      <c r="GI2" t="e">
        <f>AND(Bilan!I4,"AAAAAH6+f74=")</f>
        <v>#VALUE!</v>
      </c>
      <c r="GJ2" t="e">
        <f>AND(Bilan!J4,"AAAAAH6+f78=")</f>
        <v>#VALUE!</v>
      </c>
      <c r="GK2" t="e">
        <f>AND(Bilan!K4,"AAAAAH6+f8A=")</f>
        <v>#VALUE!</v>
      </c>
      <c r="GL2" t="e">
        <f>AND(Bilan!L4,"AAAAAH6+f8E=")</f>
        <v>#VALUE!</v>
      </c>
      <c r="GM2" t="e">
        <f>AND(Bilan!M4,"AAAAAH6+f8I=")</f>
        <v>#VALUE!</v>
      </c>
      <c r="GN2" t="e">
        <f>AND(Bilan!N4,"AAAAAH6+f8M=")</f>
        <v>#VALUE!</v>
      </c>
      <c r="GO2" t="e">
        <f>AND(Bilan!O4,"AAAAAH6+f8Q=")</f>
        <v>#VALUE!</v>
      </c>
      <c r="GP2" t="e">
        <f>AND(Bilan!P4,"AAAAAH6+f8U=")</f>
        <v>#VALUE!</v>
      </c>
      <c r="GQ2" t="e">
        <f>AND(Bilan!Q4,"AAAAAH6+f8Y=")</f>
        <v>#VALUE!</v>
      </c>
      <c r="GR2">
        <f>IF(Bilan!5:5,"AAAAAH6+f8c=",0)</f>
        <v>0</v>
      </c>
      <c r="GS2" t="e">
        <f>AND(Bilan!B5,"AAAAAH6+f8g=")</f>
        <v>#VALUE!</v>
      </c>
      <c r="GT2" t="e">
        <f>AND(Bilan!C5,"AAAAAH6+f8k=")</f>
        <v>#VALUE!</v>
      </c>
      <c r="GU2" t="e">
        <f>AND(Bilan!D5,"AAAAAH6+f8o=")</f>
        <v>#VALUE!</v>
      </c>
      <c r="GV2" t="e">
        <f>AND(Bilan!E5,"AAAAAH6+f8s=")</f>
        <v>#VALUE!</v>
      </c>
      <c r="GW2" t="e">
        <f>AND(Bilan!F5,"AAAAAH6+f8w=")</f>
        <v>#VALUE!</v>
      </c>
      <c r="GX2" t="e">
        <f>AND(Bilan!G5,"AAAAAH6+f80=")</f>
        <v>#VALUE!</v>
      </c>
      <c r="GY2" t="e">
        <f>AND(Bilan!H5,"AAAAAH6+f84=")</f>
        <v>#VALUE!</v>
      </c>
      <c r="GZ2" t="e">
        <f>AND(Bilan!I5,"AAAAAH6+f88=")</f>
        <v>#VALUE!</v>
      </c>
      <c r="HA2" t="e">
        <f>AND(Bilan!J5,"AAAAAH6+f9A=")</f>
        <v>#VALUE!</v>
      </c>
      <c r="HB2" t="e">
        <f>AND(Bilan!K5,"AAAAAH6+f9E=")</f>
        <v>#VALUE!</v>
      </c>
      <c r="HC2" t="e">
        <f>AND(Bilan!L5,"AAAAAH6+f9I=")</f>
        <v>#VALUE!</v>
      </c>
      <c r="HD2" t="e">
        <f>AND(Bilan!M5,"AAAAAH6+f9M=")</f>
        <v>#VALUE!</v>
      </c>
      <c r="HE2" t="e">
        <f>AND(Bilan!N5,"AAAAAH6+f9Q=")</f>
        <v>#VALUE!</v>
      </c>
      <c r="HF2" t="e">
        <f>AND(Bilan!O5,"AAAAAH6+f9U=")</f>
        <v>#VALUE!</v>
      </c>
      <c r="HG2" t="e">
        <f>AND(Bilan!P5,"AAAAAH6+f9Y=")</f>
        <v>#VALUE!</v>
      </c>
      <c r="HH2" t="e">
        <f>AND(Bilan!Q5,"AAAAAH6+f9c=")</f>
        <v>#VALUE!</v>
      </c>
      <c r="HI2">
        <f>IF(Bilan!6:6,"AAAAAH6+f9g=",0)</f>
        <v>0</v>
      </c>
      <c r="HJ2" t="e">
        <f>AND(Bilan!B6,"AAAAAH6+f9k=")</f>
        <v>#VALUE!</v>
      </c>
      <c r="HK2" t="e">
        <f>AND(Bilan!C6,"AAAAAH6+f9o=")</f>
        <v>#VALUE!</v>
      </c>
      <c r="HL2" t="e">
        <f>AND(Bilan!D6,"AAAAAH6+f9s=")</f>
        <v>#VALUE!</v>
      </c>
      <c r="HM2" t="e">
        <f>AND(Bilan!E6,"AAAAAH6+f9w=")</f>
        <v>#VALUE!</v>
      </c>
      <c r="HN2" t="e">
        <f>AND(Bilan!F6,"AAAAAH6+f90=")</f>
        <v>#VALUE!</v>
      </c>
      <c r="HO2" t="e">
        <f>AND(Bilan!G6,"AAAAAH6+f94=")</f>
        <v>#VALUE!</v>
      </c>
      <c r="HP2" t="e">
        <f>AND(Bilan!H6,"AAAAAH6+f98=")</f>
        <v>#VALUE!</v>
      </c>
      <c r="HQ2" t="e">
        <f>AND(Bilan!I6,"AAAAAH6+f+A=")</f>
        <v>#VALUE!</v>
      </c>
      <c r="HR2" t="e">
        <f>AND(Bilan!J6,"AAAAAH6+f+E=")</f>
        <v>#VALUE!</v>
      </c>
      <c r="HS2" t="e">
        <f>AND(Bilan!K6,"AAAAAH6+f+I=")</f>
        <v>#VALUE!</v>
      </c>
      <c r="HT2" t="e">
        <f>AND(Bilan!L6,"AAAAAH6+f+M=")</f>
        <v>#VALUE!</v>
      </c>
      <c r="HU2" t="e">
        <f>AND(Bilan!M6,"AAAAAH6+f+Q=")</f>
        <v>#VALUE!</v>
      </c>
      <c r="HV2" t="e">
        <f>AND(Bilan!N6,"AAAAAH6+f+U=")</f>
        <v>#VALUE!</v>
      </c>
      <c r="HW2" t="e">
        <f>AND(Bilan!O6,"AAAAAH6+f+Y=")</f>
        <v>#VALUE!</v>
      </c>
      <c r="HX2" t="e">
        <f>AND(Bilan!P6,"AAAAAH6+f+c=")</f>
        <v>#VALUE!</v>
      </c>
      <c r="HY2" t="e">
        <f>AND(Bilan!Q6,"AAAAAH6+f+g=")</f>
        <v>#VALUE!</v>
      </c>
      <c r="HZ2">
        <f>IF(Bilan!7:7,"AAAAAH6+f+k=",0)</f>
        <v>0</v>
      </c>
      <c r="IA2" t="e">
        <f>AND(Bilan!B7,"AAAAAH6+f+o=")</f>
        <v>#VALUE!</v>
      </c>
      <c r="IB2" t="e">
        <f>AND(Bilan!C7,"AAAAAH6+f+s=")</f>
        <v>#VALUE!</v>
      </c>
      <c r="IC2" t="e">
        <f>AND(Bilan!D7,"AAAAAH6+f+w=")</f>
        <v>#VALUE!</v>
      </c>
      <c r="ID2" t="e">
        <f>AND(Bilan!E7,"AAAAAH6+f+0=")</f>
        <v>#VALUE!</v>
      </c>
      <c r="IE2" t="e">
        <f>AND(Bilan!F7,"AAAAAH6+f+4=")</f>
        <v>#VALUE!</v>
      </c>
      <c r="IF2" t="e">
        <f>AND(Bilan!G7,"AAAAAH6+f+8=")</f>
        <v>#VALUE!</v>
      </c>
      <c r="IG2" t="e">
        <f>AND(Bilan!H7,"AAAAAH6+f/A=")</f>
        <v>#VALUE!</v>
      </c>
      <c r="IH2" t="e">
        <f>AND(Bilan!I7,"AAAAAH6+f/E=")</f>
        <v>#VALUE!</v>
      </c>
      <c r="II2" t="e">
        <f>AND(Bilan!J7,"AAAAAH6+f/I=")</f>
        <v>#VALUE!</v>
      </c>
      <c r="IJ2" t="e">
        <f>AND(Bilan!K7,"AAAAAH6+f/M=")</f>
        <v>#VALUE!</v>
      </c>
      <c r="IK2" t="e">
        <f>AND(Bilan!L7,"AAAAAH6+f/Q=")</f>
        <v>#VALUE!</v>
      </c>
      <c r="IL2" t="e">
        <f>AND(Bilan!M7,"AAAAAH6+f/U=")</f>
        <v>#VALUE!</v>
      </c>
      <c r="IM2" t="e">
        <f>AND(Bilan!N7,"AAAAAH6+f/Y=")</f>
        <v>#VALUE!</v>
      </c>
      <c r="IN2" t="e">
        <f>AND(Bilan!O7,"AAAAAH6+f/c=")</f>
        <v>#VALUE!</v>
      </c>
      <c r="IO2" t="e">
        <f>AND(Bilan!P7,"AAAAAH6+f/g=")</f>
        <v>#VALUE!</v>
      </c>
      <c r="IP2" t="e">
        <f>AND(Bilan!Q7,"AAAAAH6+f/k=")</f>
        <v>#VALUE!</v>
      </c>
      <c r="IQ2">
        <f>IF(Bilan!8:8,"AAAAAH6+f/o=",0)</f>
        <v>0</v>
      </c>
      <c r="IR2" t="e">
        <f>AND(Bilan!B8,"AAAAAH6+f/s=")</f>
        <v>#VALUE!</v>
      </c>
      <c r="IS2" t="e">
        <f>AND(Bilan!C8,"AAAAAH6+f/w=")</f>
        <v>#VALUE!</v>
      </c>
      <c r="IT2" t="e">
        <f>AND(Bilan!D8,"AAAAAH6+f/0=")</f>
        <v>#VALUE!</v>
      </c>
      <c r="IU2" t="e">
        <f>AND(Bilan!E8,"AAAAAH6+f/4=")</f>
        <v>#VALUE!</v>
      </c>
      <c r="IV2" t="e">
        <f>AND(Bilan!F8,"AAAAAH6+f/8=")</f>
        <v>#VALUE!</v>
      </c>
    </row>
    <row r="3" spans="1:256" ht="12.75">
      <c r="A3" t="e">
        <f>AND(Bilan!G8,"AAAAAH9uvgA=")</f>
        <v>#VALUE!</v>
      </c>
      <c r="B3" t="e">
        <f>AND(Bilan!H8,"AAAAAH9uvgE=")</f>
        <v>#VALUE!</v>
      </c>
      <c r="C3" t="e">
        <f>AND(Bilan!I8,"AAAAAH9uvgI=")</f>
        <v>#VALUE!</v>
      </c>
      <c r="D3" t="e">
        <f>AND(Bilan!J8,"AAAAAH9uvgM=")</f>
        <v>#VALUE!</v>
      </c>
      <c r="E3" t="e">
        <f>AND(Bilan!K8,"AAAAAH9uvgQ=")</f>
        <v>#VALUE!</v>
      </c>
      <c r="F3" t="e">
        <f>AND(Bilan!L8,"AAAAAH9uvgU=")</f>
        <v>#VALUE!</v>
      </c>
      <c r="G3" t="e">
        <f>AND(Bilan!M8,"AAAAAH9uvgY=")</f>
        <v>#VALUE!</v>
      </c>
      <c r="H3" t="e">
        <f>AND(Bilan!N8,"AAAAAH9uvgc=")</f>
        <v>#VALUE!</v>
      </c>
      <c r="I3" t="e">
        <f>AND(Bilan!O8,"AAAAAH9uvgg=")</f>
        <v>#VALUE!</v>
      </c>
      <c r="J3" t="e">
        <f>AND(Bilan!P8,"AAAAAH9uvgk=")</f>
        <v>#VALUE!</v>
      </c>
      <c r="K3" t="e">
        <f>AND(Bilan!Q8,"AAAAAH9uvgo=")</f>
        <v>#VALUE!</v>
      </c>
      <c r="L3">
        <f>IF(Bilan!9:9,"AAAAAH9uvgs=",0)</f>
        <v>0</v>
      </c>
      <c r="M3" t="e">
        <f>AND(Bilan!B9,"AAAAAH9uvgw=")</f>
        <v>#VALUE!</v>
      </c>
      <c r="N3" t="e">
        <f>AND(Bilan!C9,"AAAAAH9uvg0=")</f>
        <v>#VALUE!</v>
      </c>
      <c r="O3" t="e">
        <f>AND(Bilan!D9,"AAAAAH9uvg4=")</f>
        <v>#VALUE!</v>
      </c>
      <c r="P3" t="e">
        <f>AND(Bilan!E9,"AAAAAH9uvg8=")</f>
        <v>#VALUE!</v>
      </c>
      <c r="Q3" t="e">
        <f>AND(Bilan!F9,"AAAAAH9uvhA=")</f>
        <v>#VALUE!</v>
      </c>
      <c r="R3" t="e">
        <f>AND(Bilan!G9,"AAAAAH9uvhE=")</f>
        <v>#VALUE!</v>
      </c>
      <c r="S3" t="e">
        <f>AND(Bilan!H9,"AAAAAH9uvhI=")</f>
        <v>#VALUE!</v>
      </c>
      <c r="T3" t="e">
        <f>AND(Bilan!I9,"AAAAAH9uvhM=")</f>
        <v>#VALUE!</v>
      </c>
      <c r="U3" t="e">
        <f>AND(Bilan!J9,"AAAAAH9uvhQ=")</f>
        <v>#VALUE!</v>
      </c>
      <c r="V3" t="e">
        <f>AND(Bilan!K9,"AAAAAH9uvhU=")</f>
        <v>#VALUE!</v>
      </c>
      <c r="W3" t="e">
        <f>AND(Bilan!L9,"AAAAAH9uvhY=")</f>
        <v>#VALUE!</v>
      </c>
      <c r="X3" t="e">
        <f>AND(Bilan!M9,"AAAAAH9uvhc=")</f>
        <v>#VALUE!</v>
      </c>
      <c r="Y3" t="e">
        <f>AND(Bilan!N9,"AAAAAH9uvhg=")</f>
        <v>#VALUE!</v>
      </c>
      <c r="Z3" t="e">
        <f>AND(Bilan!O9,"AAAAAH9uvhk=")</f>
        <v>#VALUE!</v>
      </c>
      <c r="AA3" t="e">
        <f>AND(Bilan!P9,"AAAAAH9uvho=")</f>
        <v>#VALUE!</v>
      </c>
      <c r="AB3" t="e">
        <f>AND(Bilan!Q9,"AAAAAH9uvhs=")</f>
        <v>#VALUE!</v>
      </c>
      <c r="AC3">
        <f>IF(Bilan!10:10,"AAAAAH9uvhw=",0)</f>
        <v>0</v>
      </c>
      <c r="AD3" t="e">
        <f>AND(Bilan!B10,"AAAAAH9uvh0=")</f>
        <v>#VALUE!</v>
      </c>
      <c r="AE3" t="e">
        <f>AND(Bilan!C10,"AAAAAH9uvh4=")</f>
        <v>#VALUE!</v>
      </c>
      <c r="AF3" t="e">
        <f>AND(Bilan!D10,"AAAAAH9uvh8=")</f>
        <v>#VALUE!</v>
      </c>
      <c r="AG3" t="e">
        <f>AND(Bilan!E10,"AAAAAH9uviA=")</f>
        <v>#VALUE!</v>
      </c>
      <c r="AH3" t="e">
        <f>AND(Bilan!F10,"AAAAAH9uviE=")</f>
        <v>#VALUE!</v>
      </c>
      <c r="AI3" t="e">
        <f>AND(Bilan!G10,"AAAAAH9uviI=")</f>
        <v>#VALUE!</v>
      </c>
      <c r="AJ3" t="e">
        <f>AND(Bilan!H10,"AAAAAH9uviM=")</f>
        <v>#VALUE!</v>
      </c>
      <c r="AK3" t="e">
        <f>AND(Bilan!I10,"AAAAAH9uviQ=")</f>
        <v>#VALUE!</v>
      </c>
      <c r="AL3" t="e">
        <f>AND(Bilan!J10,"AAAAAH9uviU=")</f>
        <v>#VALUE!</v>
      </c>
      <c r="AM3" t="e">
        <f>AND(Bilan!K10,"AAAAAH9uviY=")</f>
        <v>#VALUE!</v>
      </c>
      <c r="AN3" t="e">
        <f>AND(Bilan!L10,"AAAAAH9uvic=")</f>
        <v>#VALUE!</v>
      </c>
      <c r="AO3" t="e">
        <f>AND(Bilan!M10,"AAAAAH9uvig=")</f>
        <v>#VALUE!</v>
      </c>
      <c r="AP3" t="e">
        <f>AND(Bilan!N10,"AAAAAH9uvik=")</f>
        <v>#VALUE!</v>
      </c>
      <c r="AQ3" t="e">
        <f>AND(Bilan!O10,"AAAAAH9uvio=")</f>
        <v>#VALUE!</v>
      </c>
      <c r="AR3" t="e">
        <f>AND(Bilan!P10,"AAAAAH9uvis=")</f>
        <v>#VALUE!</v>
      </c>
      <c r="AS3" t="e">
        <f>AND(Bilan!Q10,"AAAAAH9uviw=")</f>
        <v>#VALUE!</v>
      </c>
      <c r="AT3">
        <f>IF(Bilan!11:11,"AAAAAH9uvi0=",0)</f>
        <v>0</v>
      </c>
      <c r="AU3" t="e">
        <f>AND(Bilan!B11,"AAAAAH9uvi4=")</f>
        <v>#VALUE!</v>
      </c>
      <c r="AV3" t="e">
        <f>AND(Bilan!C11,"AAAAAH9uvi8=")</f>
        <v>#VALUE!</v>
      </c>
      <c r="AW3" t="e">
        <f>AND(Bilan!D11,"AAAAAH9uvjA=")</f>
        <v>#VALUE!</v>
      </c>
      <c r="AX3" t="e">
        <f>AND(Bilan!E11,"AAAAAH9uvjE=")</f>
        <v>#VALUE!</v>
      </c>
      <c r="AY3" t="e">
        <f>AND(Bilan!F11,"AAAAAH9uvjI=")</f>
        <v>#VALUE!</v>
      </c>
      <c r="AZ3" t="e">
        <f>AND(Bilan!G11,"AAAAAH9uvjM=")</f>
        <v>#VALUE!</v>
      </c>
      <c r="BA3" t="e">
        <f>AND(Bilan!H11,"AAAAAH9uvjQ=")</f>
        <v>#VALUE!</v>
      </c>
      <c r="BB3" t="e">
        <f>AND(Bilan!I11,"AAAAAH9uvjU=")</f>
        <v>#VALUE!</v>
      </c>
      <c r="BC3" t="e">
        <f>AND(Bilan!J11,"AAAAAH9uvjY=")</f>
        <v>#VALUE!</v>
      </c>
      <c r="BD3" t="e">
        <f>AND(Bilan!K11,"AAAAAH9uvjc=")</f>
        <v>#VALUE!</v>
      </c>
      <c r="BE3" t="e">
        <f>AND(Bilan!L11,"AAAAAH9uvjg=")</f>
        <v>#VALUE!</v>
      </c>
      <c r="BF3" t="e">
        <f>AND(Bilan!M11,"AAAAAH9uvjk=")</f>
        <v>#VALUE!</v>
      </c>
      <c r="BG3" t="e">
        <f>AND(Bilan!N11,"AAAAAH9uvjo=")</f>
        <v>#VALUE!</v>
      </c>
      <c r="BH3" t="e">
        <f>AND(Bilan!O11,"AAAAAH9uvjs=")</f>
        <v>#VALUE!</v>
      </c>
      <c r="BI3" t="e">
        <f>AND(Bilan!P11,"AAAAAH9uvjw=")</f>
        <v>#VALUE!</v>
      </c>
      <c r="BJ3" t="e">
        <f>AND(Bilan!Q11,"AAAAAH9uvj0=")</f>
        <v>#VALUE!</v>
      </c>
      <c r="BK3">
        <f>IF(Bilan!12:12,"AAAAAH9uvj4=",0)</f>
        <v>0</v>
      </c>
      <c r="BL3" t="e">
        <f>AND(Bilan!B12,"AAAAAH9uvj8=")</f>
        <v>#VALUE!</v>
      </c>
      <c r="BM3" t="e">
        <f>AND(Bilan!C12,"AAAAAH9uvkA=")</f>
        <v>#VALUE!</v>
      </c>
      <c r="BN3" t="e">
        <f>AND(Bilan!D12,"AAAAAH9uvkE=")</f>
        <v>#VALUE!</v>
      </c>
      <c r="BO3" t="e">
        <f>AND(Bilan!E12,"AAAAAH9uvkI=")</f>
        <v>#VALUE!</v>
      </c>
      <c r="BP3" t="e">
        <f>AND(Bilan!F12,"AAAAAH9uvkM=")</f>
        <v>#VALUE!</v>
      </c>
      <c r="BQ3" t="e">
        <f>AND(Bilan!G12,"AAAAAH9uvkQ=")</f>
        <v>#VALUE!</v>
      </c>
      <c r="BR3" t="e">
        <f>AND(Bilan!H12,"AAAAAH9uvkU=")</f>
        <v>#VALUE!</v>
      </c>
      <c r="BS3" t="e">
        <f>AND(Bilan!I12,"AAAAAH9uvkY=")</f>
        <v>#VALUE!</v>
      </c>
      <c r="BT3" t="e">
        <f>AND(Bilan!J12,"AAAAAH9uvkc=")</f>
        <v>#VALUE!</v>
      </c>
      <c r="BU3" t="e">
        <f>AND(Bilan!K12,"AAAAAH9uvkg=")</f>
        <v>#VALUE!</v>
      </c>
      <c r="BV3" t="e">
        <f>AND(Bilan!L12,"AAAAAH9uvkk=")</f>
        <v>#VALUE!</v>
      </c>
      <c r="BW3" t="e">
        <f>AND(Bilan!M12,"AAAAAH9uvko=")</f>
        <v>#VALUE!</v>
      </c>
      <c r="BX3" t="e">
        <f>AND(Bilan!N12,"AAAAAH9uvks=")</f>
        <v>#VALUE!</v>
      </c>
      <c r="BY3" t="e">
        <f>AND(Bilan!O12,"AAAAAH9uvkw=")</f>
        <v>#VALUE!</v>
      </c>
      <c r="BZ3" t="e">
        <f>AND(Bilan!P12,"AAAAAH9uvk0=")</f>
        <v>#VALUE!</v>
      </c>
      <c r="CA3" t="e">
        <f>AND(Bilan!Q12,"AAAAAH9uvk4=")</f>
        <v>#VALUE!</v>
      </c>
      <c r="CB3">
        <f>IF(Bilan!13:13,"AAAAAH9uvk8=",0)</f>
        <v>0</v>
      </c>
      <c r="CC3" t="e">
        <f>AND(Bilan!B13,"AAAAAH9uvlA=")</f>
        <v>#VALUE!</v>
      </c>
      <c r="CD3" t="e">
        <f>AND(Bilan!C13,"AAAAAH9uvlE=")</f>
        <v>#VALUE!</v>
      </c>
      <c r="CE3" t="e">
        <f>AND(Bilan!D13,"AAAAAH9uvlI=")</f>
        <v>#VALUE!</v>
      </c>
      <c r="CF3" t="e">
        <f>AND(Bilan!E13,"AAAAAH9uvlM=")</f>
        <v>#VALUE!</v>
      </c>
      <c r="CG3" t="e">
        <f>AND(Bilan!F13,"AAAAAH9uvlQ=")</f>
        <v>#VALUE!</v>
      </c>
      <c r="CH3" t="e">
        <f>AND(Bilan!G13,"AAAAAH9uvlU=")</f>
        <v>#VALUE!</v>
      </c>
      <c r="CI3" t="e">
        <f>AND(Bilan!H13,"AAAAAH9uvlY=")</f>
        <v>#VALUE!</v>
      </c>
      <c r="CJ3" t="e">
        <f>AND(Bilan!I13,"AAAAAH9uvlc=")</f>
        <v>#VALUE!</v>
      </c>
      <c r="CK3" t="e">
        <f>AND(Bilan!J13,"AAAAAH9uvlg=")</f>
        <v>#VALUE!</v>
      </c>
      <c r="CL3" t="e">
        <f>AND(Bilan!K13,"AAAAAH9uvlk=")</f>
        <v>#VALUE!</v>
      </c>
      <c r="CM3" t="e">
        <f>AND(Bilan!L13,"AAAAAH9uvlo=")</f>
        <v>#VALUE!</v>
      </c>
      <c r="CN3" t="e">
        <f>AND(Bilan!M13,"AAAAAH9uvls=")</f>
        <v>#VALUE!</v>
      </c>
      <c r="CO3" t="e">
        <f>AND(Bilan!N13,"AAAAAH9uvlw=")</f>
        <v>#VALUE!</v>
      </c>
      <c r="CP3" t="e">
        <f>AND(Bilan!O13,"AAAAAH9uvl0=")</f>
        <v>#VALUE!</v>
      </c>
      <c r="CQ3" t="e">
        <f>AND(Bilan!P13,"AAAAAH9uvl4=")</f>
        <v>#VALUE!</v>
      </c>
      <c r="CR3" t="e">
        <f>AND(Bilan!Q13,"AAAAAH9uvl8=")</f>
        <v>#VALUE!</v>
      </c>
      <c r="CS3">
        <f>IF(Bilan!14:14,"AAAAAH9uvmA=",0)</f>
        <v>0</v>
      </c>
      <c r="CT3" t="e">
        <f>AND(Bilan!B14,"AAAAAH9uvmE=")</f>
        <v>#VALUE!</v>
      </c>
      <c r="CU3" t="e">
        <f>AND(Bilan!C14,"AAAAAH9uvmI=")</f>
        <v>#VALUE!</v>
      </c>
      <c r="CV3" t="e">
        <f>AND(Bilan!D14,"AAAAAH9uvmM=")</f>
        <v>#VALUE!</v>
      </c>
      <c r="CW3" t="e">
        <f>AND(Bilan!E14,"AAAAAH9uvmQ=")</f>
        <v>#VALUE!</v>
      </c>
      <c r="CX3" t="e">
        <f>AND(Bilan!F14,"AAAAAH9uvmU=")</f>
        <v>#VALUE!</v>
      </c>
      <c r="CY3" t="e">
        <f>AND(Bilan!G14,"AAAAAH9uvmY=")</f>
        <v>#VALUE!</v>
      </c>
      <c r="CZ3" t="e">
        <f>AND(Bilan!H14,"AAAAAH9uvmc=")</f>
        <v>#VALUE!</v>
      </c>
      <c r="DA3" t="e">
        <f>AND(Bilan!I14,"AAAAAH9uvmg=")</f>
        <v>#VALUE!</v>
      </c>
      <c r="DB3" t="e">
        <f>AND(Bilan!J14,"AAAAAH9uvmk=")</f>
        <v>#VALUE!</v>
      </c>
      <c r="DC3" t="e">
        <f>AND(Bilan!K14,"AAAAAH9uvmo=")</f>
        <v>#VALUE!</v>
      </c>
      <c r="DD3" t="e">
        <f>AND(Bilan!L14,"AAAAAH9uvms=")</f>
        <v>#VALUE!</v>
      </c>
      <c r="DE3" t="e">
        <f>AND(Bilan!M14,"AAAAAH9uvmw=")</f>
        <v>#VALUE!</v>
      </c>
      <c r="DF3" t="e">
        <f>AND(Bilan!N14,"AAAAAH9uvm0=")</f>
        <v>#VALUE!</v>
      </c>
      <c r="DG3" t="e">
        <f>AND(Bilan!O14,"AAAAAH9uvm4=")</f>
        <v>#VALUE!</v>
      </c>
      <c r="DH3" t="e">
        <f>AND(Bilan!P14,"AAAAAH9uvm8=")</f>
        <v>#VALUE!</v>
      </c>
      <c r="DI3" t="e">
        <f>AND(Bilan!Q14,"AAAAAH9uvnA=")</f>
        <v>#VALUE!</v>
      </c>
      <c r="DJ3">
        <f>IF(Bilan!15:15,"AAAAAH9uvnE=",0)</f>
        <v>0</v>
      </c>
      <c r="DK3" t="e">
        <f>AND(Bilan!B15,"AAAAAH9uvnI=")</f>
        <v>#VALUE!</v>
      </c>
      <c r="DL3" t="e">
        <f>AND(Bilan!C15,"AAAAAH9uvnM=")</f>
        <v>#VALUE!</v>
      </c>
      <c r="DM3" t="e">
        <f>AND(Bilan!D15,"AAAAAH9uvnQ=")</f>
        <v>#VALUE!</v>
      </c>
      <c r="DN3" t="e">
        <f>AND(Bilan!E15,"AAAAAH9uvnU=")</f>
        <v>#VALUE!</v>
      </c>
      <c r="DO3" t="e">
        <f>AND(Bilan!F15,"AAAAAH9uvnY=")</f>
        <v>#VALUE!</v>
      </c>
      <c r="DP3" t="e">
        <f>AND(Bilan!G15,"AAAAAH9uvnc=")</f>
        <v>#VALUE!</v>
      </c>
      <c r="DQ3" t="e">
        <f>AND(Bilan!H15,"AAAAAH9uvng=")</f>
        <v>#VALUE!</v>
      </c>
      <c r="DR3" t="e">
        <f>AND(Bilan!I15,"AAAAAH9uvnk=")</f>
        <v>#VALUE!</v>
      </c>
      <c r="DS3" t="e">
        <f>AND(Bilan!J15,"AAAAAH9uvno=")</f>
        <v>#VALUE!</v>
      </c>
      <c r="DT3" t="e">
        <f>AND(Bilan!K15,"AAAAAH9uvns=")</f>
        <v>#VALUE!</v>
      </c>
      <c r="DU3" t="e">
        <f>AND(Bilan!L15,"AAAAAH9uvnw=")</f>
        <v>#VALUE!</v>
      </c>
      <c r="DV3" t="e">
        <f>AND(Bilan!M15,"AAAAAH9uvn0=")</f>
        <v>#VALUE!</v>
      </c>
      <c r="DW3" t="e">
        <f>AND(Bilan!N15,"AAAAAH9uvn4=")</f>
        <v>#VALUE!</v>
      </c>
      <c r="DX3" t="e">
        <f>AND(Bilan!O15,"AAAAAH9uvn8=")</f>
        <v>#VALUE!</v>
      </c>
      <c r="DY3" t="e">
        <f>AND(Bilan!P15,"AAAAAH9uvoA=")</f>
        <v>#VALUE!</v>
      </c>
      <c r="DZ3" t="e">
        <f>AND(Bilan!Q15,"AAAAAH9uvoE=")</f>
        <v>#VALUE!</v>
      </c>
      <c r="EA3">
        <f>IF(Bilan!16:16,"AAAAAH9uvoI=",0)</f>
        <v>0</v>
      </c>
      <c r="EB3" t="e">
        <f>AND(Bilan!B16,"AAAAAH9uvoM=")</f>
        <v>#VALUE!</v>
      </c>
      <c r="EC3" t="e">
        <f>AND(Bilan!C16,"AAAAAH9uvoQ=")</f>
        <v>#VALUE!</v>
      </c>
      <c r="ED3" t="e">
        <f>AND(Bilan!D16,"AAAAAH9uvoU=")</f>
        <v>#VALUE!</v>
      </c>
      <c r="EE3" t="e">
        <f>AND(Bilan!E16,"AAAAAH9uvoY=")</f>
        <v>#VALUE!</v>
      </c>
      <c r="EF3" t="e">
        <f>AND(Bilan!F16,"AAAAAH9uvoc=")</f>
        <v>#VALUE!</v>
      </c>
      <c r="EG3" t="e">
        <f>AND(Bilan!G16,"AAAAAH9uvog=")</f>
        <v>#VALUE!</v>
      </c>
      <c r="EH3" t="e">
        <f>AND(Bilan!H16,"AAAAAH9uvok=")</f>
        <v>#VALUE!</v>
      </c>
      <c r="EI3" t="e">
        <f>AND(Bilan!I16,"AAAAAH9uvoo=")</f>
        <v>#VALUE!</v>
      </c>
      <c r="EJ3" t="e">
        <f>AND(Bilan!J16,"AAAAAH9uvos=")</f>
        <v>#VALUE!</v>
      </c>
      <c r="EK3" t="e">
        <f>AND(Bilan!K16,"AAAAAH9uvow=")</f>
        <v>#VALUE!</v>
      </c>
      <c r="EL3" t="e">
        <f>AND(Bilan!L16,"AAAAAH9uvo0=")</f>
        <v>#VALUE!</v>
      </c>
      <c r="EM3" t="e">
        <f>AND(Bilan!M16,"AAAAAH9uvo4=")</f>
        <v>#VALUE!</v>
      </c>
      <c r="EN3" t="e">
        <f>AND(Bilan!N16,"AAAAAH9uvo8=")</f>
        <v>#VALUE!</v>
      </c>
      <c r="EO3" t="e">
        <f>AND(Bilan!O16,"AAAAAH9uvpA=")</f>
        <v>#VALUE!</v>
      </c>
      <c r="EP3" t="e">
        <f>AND(Bilan!P16,"AAAAAH9uvpE=")</f>
        <v>#VALUE!</v>
      </c>
      <c r="EQ3" t="e">
        <f>AND(Bilan!Q16,"AAAAAH9uvpI=")</f>
        <v>#VALUE!</v>
      </c>
      <c r="ER3">
        <f>IF(Bilan!17:17,"AAAAAH9uvpM=",0)</f>
        <v>0</v>
      </c>
      <c r="ES3" t="e">
        <f>AND(Bilan!B17,"AAAAAH9uvpQ=")</f>
        <v>#VALUE!</v>
      </c>
      <c r="ET3" t="e">
        <f>AND(Bilan!C17,"AAAAAH9uvpU=")</f>
        <v>#VALUE!</v>
      </c>
      <c r="EU3" t="e">
        <f>AND(Bilan!D17,"AAAAAH9uvpY=")</f>
        <v>#VALUE!</v>
      </c>
      <c r="EV3" t="e">
        <f>AND(Bilan!E17,"AAAAAH9uvpc=")</f>
        <v>#VALUE!</v>
      </c>
      <c r="EW3" t="e">
        <f>AND(Bilan!F17,"AAAAAH9uvpg=")</f>
        <v>#VALUE!</v>
      </c>
      <c r="EX3" t="e">
        <f>AND(Bilan!G17,"AAAAAH9uvpk=")</f>
        <v>#VALUE!</v>
      </c>
      <c r="EY3" t="e">
        <f>AND(Bilan!H17,"AAAAAH9uvpo=")</f>
        <v>#VALUE!</v>
      </c>
      <c r="EZ3" t="e">
        <f>AND(Bilan!I17,"AAAAAH9uvps=")</f>
        <v>#VALUE!</v>
      </c>
      <c r="FA3" t="e">
        <f>AND(Bilan!J17,"AAAAAH9uvpw=")</f>
        <v>#VALUE!</v>
      </c>
      <c r="FB3" t="e">
        <f>AND(Bilan!K17,"AAAAAH9uvp0=")</f>
        <v>#VALUE!</v>
      </c>
      <c r="FC3" t="e">
        <f>AND(Bilan!L17,"AAAAAH9uvp4=")</f>
        <v>#VALUE!</v>
      </c>
      <c r="FD3" t="e">
        <f>AND(Bilan!M17,"AAAAAH9uvp8=")</f>
        <v>#VALUE!</v>
      </c>
      <c r="FE3" t="e">
        <f>AND(Bilan!N17,"AAAAAH9uvqA=")</f>
        <v>#VALUE!</v>
      </c>
      <c r="FF3" t="e">
        <f>AND(Bilan!O17,"AAAAAH9uvqE=")</f>
        <v>#VALUE!</v>
      </c>
      <c r="FG3" t="e">
        <f>AND(Bilan!P17,"AAAAAH9uvqI=")</f>
        <v>#VALUE!</v>
      </c>
      <c r="FH3" t="e">
        <f>AND(Bilan!Q17,"AAAAAH9uvqM=")</f>
        <v>#VALUE!</v>
      </c>
      <c r="FI3">
        <f>IF(Bilan!18:18,"AAAAAH9uvqQ=",0)</f>
        <v>0</v>
      </c>
      <c r="FJ3" t="e">
        <f>AND(Bilan!B18,"AAAAAH9uvqU=")</f>
        <v>#VALUE!</v>
      </c>
      <c r="FK3" t="e">
        <f>AND(Bilan!C18,"AAAAAH9uvqY=")</f>
        <v>#VALUE!</v>
      </c>
      <c r="FL3" t="e">
        <f>AND(Bilan!D18,"AAAAAH9uvqc=")</f>
        <v>#VALUE!</v>
      </c>
      <c r="FM3" t="e">
        <f>AND(Bilan!E18,"AAAAAH9uvqg=")</f>
        <v>#VALUE!</v>
      </c>
      <c r="FN3" t="e">
        <f>AND(Bilan!F18,"AAAAAH9uvqk=")</f>
        <v>#VALUE!</v>
      </c>
      <c r="FO3" t="e">
        <f>AND(Bilan!G18,"AAAAAH9uvqo=")</f>
        <v>#VALUE!</v>
      </c>
      <c r="FP3" t="e">
        <f>AND(Bilan!H18,"AAAAAH9uvqs=")</f>
        <v>#VALUE!</v>
      </c>
      <c r="FQ3" t="e">
        <f>AND(Bilan!I18,"AAAAAH9uvqw=")</f>
        <v>#VALUE!</v>
      </c>
      <c r="FR3" t="e">
        <f>AND(Bilan!J18,"AAAAAH9uvq0=")</f>
        <v>#VALUE!</v>
      </c>
      <c r="FS3" t="e">
        <f>AND(Bilan!K18,"AAAAAH9uvq4=")</f>
        <v>#VALUE!</v>
      </c>
      <c r="FT3" t="e">
        <f>AND(Bilan!L18,"AAAAAH9uvq8=")</f>
        <v>#VALUE!</v>
      </c>
      <c r="FU3" t="e">
        <f>AND(Bilan!M18,"AAAAAH9uvrA=")</f>
        <v>#VALUE!</v>
      </c>
      <c r="FV3" t="e">
        <f>AND(Bilan!N18,"AAAAAH9uvrE=")</f>
        <v>#VALUE!</v>
      </c>
      <c r="FW3" t="e">
        <f>AND(Bilan!O18,"AAAAAH9uvrI=")</f>
        <v>#VALUE!</v>
      </c>
      <c r="FX3" t="e">
        <f>AND(Bilan!P18,"AAAAAH9uvrM=")</f>
        <v>#VALUE!</v>
      </c>
      <c r="FY3" t="e">
        <f>AND(Bilan!Q18,"AAAAAH9uvrQ=")</f>
        <v>#VALUE!</v>
      </c>
      <c r="FZ3">
        <f>IF(Bilan!A:A,"AAAAAH9uvrU=",0)</f>
        <v>0</v>
      </c>
      <c r="GA3" t="e">
        <f>IF(Bilan!B:B,"AAAAAH9uvrY=",0)</f>
        <v>#VALUE!</v>
      </c>
      <c r="GB3">
        <f>IF(Bilan!C:C,"AAAAAH9uvrc=",0)</f>
        <v>0</v>
      </c>
      <c r="GC3">
        <f>IF(Bilan!D:D,"AAAAAH9uvrg=",0)</f>
        <v>0</v>
      </c>
      <c r="GD3">
        <f>IF(Bilan!E:E,"AAAAAH9uvrk=",0)</f>
        <v>0</v>
      </c>
      <c r="GE3">
        <f>IF(Bilan!F:F,"AAAAAH9uvro=",0)</f>
        <v>0</v>
      </c>
      <c r="GF3">
        <f>IF(Bilan!G:G,"AAAAAH9uvrs=",0)</f>
        <v>0</v>
      </c>
      <c r="GG3">
        <f>IF(Bilan!H:H,"AAAAAH9uvrw=",0)</f>
        <v>0</v>
      </c>
      <c r="GH3">
        <f>IF(Bilan!I:I,"AAAAAH9uvr0=",0)</f>
        <v>0</v>
      </c>
      <c r="GI3">
        <f>IF(Bilan!J:J,"AAAAAH9uvr4=",0)</f>
        <v>0</v>
      </c>
      <c r="GJ3">
        <f>IF(Bilan!K:K,"AAAAAH9uvr8=",0)</f>
        <v>0</v>
      </c>
      <c r="GK3">
        <f>IF(Bilan!L:L,"AAAAAH9uvsA=",0)</f>
        <v>0</v>
      </c>
      <c r="GL3">
        <f>IF(Bilan!M:M,"AAAAAH9uvsE=",0)</f>
        <v>0</v>
      </c>
      <c r="GM3">
        <f>IF(Bilan!N:N,"AAAAAH9uvsI=",0)</f>
        <v>0</v>
      </c>
      <c r="GN3">
        <f>IF(Bilan!O:O,"AAAAAH9uvsM=",0)</f>
        <v>0</v>
      </c>
      <c r="GO3">
        <f>IF(Bilan!P:P,"AAAAAH9uvsQ=",0)</f>
        <v>0</v>
      </c>
      <c r="GP3">
        <f>IF(Bilan!Q:Q,"AAAAAH9uvsU=",0)</f>
        <v>0</v>
      </c>
      <c r="GQ3">
        <f>IF('En cours'!1:1,"AAAAAH9uvsY=",0)</f>
        <v>0</v>
      </c>
      <c r="GR3" t="e">
        <f>AND('En cours'!A1,"AAAAAH9uvsc=")</f>
        <v>#VALUE!</v>
      </c>
      <c r="GS3" t="e">
        <f>AND('En cours'!B1,"AAAAAH9uvsg=")</f>
        <v>#VALUE!</v>
      </c>
      <c r="GT3" t="e">
        <f>AND('En cours'!C1,"AAAAAH9uvsk=")</f>
        <v>#VALUE!</v>
      </c>
      <c r="GU3" t="e">
        <f>AND('En cours'!D1,"AAAAAH9uvso=")</f>
        <v>#VALUE!</v>
      </c>
      <c r="GV3" t="e">
        <f>AND('En cours'!E1,"AAAAAH9uvss=")</f>
        <v>#VALUE!</v>
      </c>
      <c r="GW3" t="e">
        <f>AND('En cours'!F1,"AAAAAH9uvsw=")</f>
        <v>#VALUE!</v>
      </c>
      <c r="GX3" t="e">
        <f>AND('En cours'!G1,"AAAAAH9uvs0=")</f>
        <v>#VALUE!</v>
      </c>
      <c r="GY3" t="e">
        <f>AND('En cours'!H1,"AAAAAH9uvs4=")</f>
        <v>#VALUE!</v>
      </c>
      <c r="GZ3" t="e">
        <f>AND('En cours'!I1,"AAAAAH9uvs8=")</f>
        <v>#VALUE!</v>
      </c>
      <c r="HA3" t="e">
        <f>AND('En cours'!J1,"AAAAAH9uvtA=")</f>
        <v>#VALUE!</v>
      </c>
      <c r="HB3" t="e">
        <f>AND('En cours'!K1,"AAAAAH9uvtE=")</f>
        <v>#VALUE!</v>
      </c>
      <c r="HC3" t="e">
        <f>AND('En cours'!L1,"AAAAAH9uvtI=")</f>
        <v>#VALUE!</v>
      </c>
      <c r="HD3" t="e">
        <f>AND('En cours'!M1,"AAAAAH9uvtM=")</f>
        <v>#VALUE!</v>
      </c>
      <c r="HE3" t="e">
        <f>AND('En cours'!N1,"AAAAAH9uvtQ=")</f>
        <v>#VALUE!</v>
      </c>
      <c r="HF3" t="e">
        <f>AND('En cours'!O1,"AAAAAH9uvtU=")</f>
        <v>#VALUE!</v>
      </c>
      <c r="HG3" t="e">
        <f>AND('En cours'!P1,"AAAAAH9uvtY=")</f>
        <v>#VALUE!</v>
      </c>
      <c r="HH3" t="e">
        <f>AND('En cours'!Q1,"AAAAAH9uvtc=")</f>
        <v>#VALUE!</v>
      </c>
      <c r="HI3" t="e">
        <f>AND('En cours'!R1,"AAAAAH9uvtg=")</f>
        <v>#VALUE!</v>
      </c>
      <c r="HJ3" t="e">
        <f>AND('En cours'!S1,"AAAAAH9uvtk=")</f>
        <v>#VALUE!</v>
      </c>
      <c r="HK3" t="e">
        <f>AND('En cours'!T1,"AAAAAH9uvto=")</f>
        <v>#VALUE!</v>
      </c>
      <c r="HL3" t="e">
        <f>AND('En cours'!U1,"AAAAAH9uvts=")</f>
        <v>#VALUE!</v>
      </c>
      <c r="HM3" t="e">
        <f>AND('En cours'!V1,"AAAAAH9uvtw=")</f>
        <v>#VALUE!</v>
      </c>
      <c r="HN3" t="e">
        <f>AND('En cours'!W1,"AAAAAH9uvt0=")</f>
        <v>#VALUE!</v>
      </c>
      <c r="HO3" t="e">
        <f>AND('En cours'!X1,"AAAAAH9uvt4=")</f>
        <v>#VALUE!</v>
      </c>
      <c r="HP3" t="e">
        <f>AND('En cours'!Y1,"AAAAAH9uvt8=")</f>
        <v>#VALUE!</v>
      </c>
      <c r="HQ3" t="e">
        <f>IF('En cours'!#REF!,"AAAAAH9uvuA=",0)</f>
        <v>#REF!</v>
      </c>
      <c r="HR3" t="e">
        <f>AND('En cours'!#REF!,"AAAAAH9uvuE=")</f>
        <v>#REF!</v>
      </c>
      <c r="HS3" t="e">
        <f>AND('En cours'!#REF!,"AAAAAH9uvuI=")</f>
        <v>#REF!</v>
      </c>
      <c r="HT3" t="e">
        <f>AND('En cours'!#REF!,"AAAAAH9uvuM=")</f>
        <v>#REF!</v>
      </c>
      <c r="HU3" t="e">
        <f>AND('En cours'!#REF!,"AAAAAH9uvuQ=")</f>
        <v>#REF!</v>
      </c>
      <c r="HV3" t="e">
        <f>AND('En cours'!#REF!,"AAAAAH9uvuU=")</f>
        <v>#REF!</v>
      </c>
      <c r="HW3" t="e">
        <f>AND('En cours'!#REF!,"AAAAAH9uvuY=")</f>
        <v>#REF!</v>
      </c>
      <c r="HX3" t="e">
        <f>AND('En cours'!#REF!,"AAAAAH9uvuc=")</f>
        <v>#REF!</v>
      </c>
      <c r="HY3" t="e">
        <f>AND('En cours'!#REF!,"AAAAAH9uvug=")</f>
        <v>#REF!</v>
      </c>
      <c r="HZ3" t="e">
        <f>AND('En cours'!#REF!,"AAAAAH9uvuk=")</f>
        <v>#REF!</v>
      </c>
      <c r="IA3" t="e">
        <f>AND('En cours'!#REF!,"AAAAAH9uvuo=")</f>
        <v>#REF!</v>
      </c>
      <c r="IB3" t="e">
        <f>AND('En cours'!#REF!,"AAAAAH9uvus=")</f>
        <v>#REF!</v>
      </c>
      <c r="IC3" t="e">
        <f>AND('En cours'!#REF!,"AAAAAH9uvuw=")</f>
        <v>#REF!</v>
      </c>
      <c r="ID3" t="e">
        <f>AND('En cours'!#REF!,"AAAAAH9uvu0=")</f>
        <v>#REF!</v>
      </c>
      <c r="IE3" t="e">
        <f>AND('En cours'!#REF!,"AAAAAH9uvu4=")</f>
        <v>#REF!</v>
      </c>
      <c r="IF3" t="e">
        <f>AND('En cours'!#REF!,"AAAAAH9uvu8=")</f>
        <v>#REF!</v>
      </c>
      <c r="IG3" t="e">
        <f>AND('En cours'!#REF!,"AAAAAH9uvvA=")</f>
        <v>#REF!</v>
      </c>
      <c r="IH3" t="e">
        <f>AND('En cours'!#REF!,"AAAAAH9uvvE=")</f>
        <v>#REF!</v>
      </c>
      <c r="II3" t="e">
        <f>AND('En cours'!#REF!,"AAAAAH9uvvI=")</f>
        <v>#REF!</v>
      </c>
      <c r="IJ3" t="e">
        <f>AND('En cours'!#REF!,"AAAAAH9uvvM=")</f>
        <v>#REF!</v>
      </c>
      <c r="IK3" t="e">
        <f>AND('En cours'!#REF!,"AAAAAH9uvvQ=")</f>
        <v>#REF!</v>
      </c>
      <c r="IL3" t="e">
        <f>AND('En cours'!#REF!,"AAAAAH9uvvU=")</f>
        <v>#REF!</v>
      </c>
      <c r="IM3" t="e">
        <f>AND('En cours'!#REF!,"AAAAAH9uvvY=")</f>
        <v>#REF!</v>
      </c>
      <c r="IN3" t="e">
        <f>AND('En cours'!#REF!,"AAAAAH9uvvc=")</f>
        <v>#REF!</v>
      </c>
      <c r="IO3" t="e">
        <f>AND('En cours'!#REF!,"AAAAAH9uvvg=")</f>
        <v>#REF!</v>
      </c>
      <c r="IP3" t="e">
        <f>AND('En cours'!#REF!,"AAAAAH9uvvk=")</f>
        <v>#REF!</v>
      </c>
      <c r="IQ3">
        <f>IF('En cours'!2:2,"AAAAAH9uvvo=",0)</f>
        <v>0</v>
      </c>
      <c r="IR3" t="e">
        <f>AND('En cours'!A2,"AAAAAH9uvvs=")</f>
        <v>#VALUE!</v>
      </c>
      <c r="IS3" t="e">
        <f>AND('En cours'!B2,"AAAAAH9uvvw=")</f>
        <v>#VALUE!</v>
      </c>
      <c r="IT3" t="e">
        <f>AND('En cours'!C2,"AAAAAH9uvv0=")</f>
        <v>#VALUE!</v>
      </c>
      <c r="IU3" t="e">
        <f>AND('En cours'!D2,"AAAAAH9uvv4=")</f>
        <v>#VALUE!</v>
      </c>
      <c r="IV3" t="e">
        <f>AND('En cours'!E2,"AAAAAH9uvv8=")</f>
        <v>#VALUE!</v>
      </c>
    </row>
    <row r="4" spans="1:256" ht="12.75">
      <c r="A4" t="e">
        <f>AND('En cours'!F2,"AAAAACebsQA=")</f>
        <v>#VALUE!</v>
      </c>
      <c r="B4" t="e">
        <f>AND('En cours'!G2,"AAAAACebsQE=")</f>
        <v>#VALUE!</v>
      </c>
      <c r="C4" t="e">
        <f>AND('En cours'!H2,"AAAAACebsQI=")</f>
        <v>#VALUE!</v>
      </c>
      <c r="D4" t="e">
        <f>AND('En cours'!I2,"AAAAACebsQM=")</f>
        <v>#VALUE!</v>
      </c>
      <c r="E4" t="e">
        <f>AND('En cours'!J2,"AAAAACebsQQ=")</f>
        <v>#VALUE!</v>
      </c>
      <c r="F4" t="e">
        <f>AND('En cours'!K2,"AAAAACebsQU=")</f>
        <v>#VALUE!</v>
      </c>
      <c r="G4" t="e">
        <f>AND('En cours'!L2,"AAAAACebsQY=")</f>
        <v>#VALUE!</v>
      </c>
      <c r="H4" t="e">
        <f>AND('En cours'!M2,"AAAAACebsQc=")</f>
        <v>#VALUE!</v>
      </c>
      <c r="I4" t="e">
        <f>AND('En cours'!N2,"AAAAACebsQg=")</f>
        <v>#VALUE!</v>
      </c>
      <c r="J4" t="e">
        <f>AND('En cours'!O2,"AAAAACebsQk=")</f>
        <v>#VALUE!</v>
      </c>
      <c r="K4" t="e">
        <f>AND('En cours'!P2,"AAAAACebsQo=")</f>
        <v>#VALUE!</v>
      </c>
      <c r="L4" t="e">
        <f>AND('En cours'!Q2,"AAAAACebsQs=")</f>
        <v>#VALUE!</v>
      </c>
      <c r="M4" t="e">
        <f>AND('En cours'!R2,"AAAAACebsQw=")</f>
        <v>#VALUE!</v>
      </c>
      <c r="N4" t="e">
        <f>AND('En cours'!S2,"AAAAACebsQ0=")</f>
        <v>#VALUE!</v>
      </c>
      <c r="O4" t="e">
        <f>AND('En cours'!T2,"AAAAACebsQ4=")</f>
        <v>#VALUE!</v>
      </c>
      <c r="P4" t="e">
        <f>AND('En cours'!U2,"AAAAACebsQ8=")</f>
        <v>#VALUE!</v>
      </c>
      <c r="Q4" t="e">
        <f>AND('En cours'!V2,"AAAAACebsRA=")</f>
        <v>#VALUE!</v>
      </c>
      <c r="R4" t="e">
        <f>AND('En cours'!W2,"AAAAACebsRE=")</f>
        <v>#VALUE!</v>
      </c>
      <c r="S4" t="e">
        <f>AND('En cours'!X2,"AAAAACebsRI=")</f>
        <v>#VALUE!</v>
      </c>
      <c r="T4" t="e">
        <f>AND('En cours'!Y2,"AAAAACebsRM=")</f>
        <v>#VALUE!</v>
      </c>
      <c r="U4">
        <f>IF('En cours'!3:3,"AAAAACebsRQ=",0)</f>
        <v>0</v>
      </c>
      <c r="V4" t="e">
        <f>AND('En cours'!A3,"AAAAACebsRU=")</f>
        <v>#VALUE!</v>
      </c>
      <c r="W4" t="e">
        <f>AND('En cours'!B3,"AAAAACebsRY=")</f>
        <v>#VALUE!</v>
      </c>
      <c r="X4" t="e">
        <f>AND('En cours'!C3,"AAAAACebsRc=")</f>
        <v>#VALUE!</v>
      </c>
      <c r="Y4" t="e">
        <f>AND('En cours'!D3,"AAAAACebsRg=")</f>
        <v>#VALUE!</v>
      </c>
      <c r="Z4" t="e">
        <f>AND('En cours'!E3,"AAAAACebsRk=")</f>
        <v>#VALUE!</v>
      </c>
      <c r="AA4" t="e">
        <f>AND('En cours'!F3,"AAAAACebsRo=")</f>
        <v>#VALUE!</v>
      </c>
      <c r="AB4" t="e">
        <f>AND('En cours'!G3,"AAAAACebsRs=")</f>
        <v>#VALUE!</v>
      </c>
      <c r="AC4" t="e">
        <f>AND('En cours'!H3,"AAAAACebsRw=")</f>
        <v>#VALUE!</v>
      </c>
      <c r="AD4" t="e">
        <f>AND('En cours'!I3,"AAAAACebsR0=")</f>
        <v>#VALUE!</v>
      </c>
      <c r="AE4" t="e">
        <f>AND('En cours'!J3,"AAAAACebsR4=")</f>
        <v>#VALUE!</v>
      </c>
      <c r="AF4" t="e">
        <f>AND('En cours'!K3,"AAAAACebsR8=")</f>
        <v>#VALUE!</v>
      </c>
      <c r="AG4" t="e">
        <f>AND('En cours'!L3,"AAAAACebsSA=")</f>
        <v>#VALUE!</v>
      </c>
      <c r="AH4" t="e">
        <f>AND('En cours'!M3,"AAAAACebsSE=")</f>
        <v>#VALUE!</v>
      </c>
      <c r="AI4" t="e">
        <f>AND('En cours'!N3,"AAAAACebsSI=")</f>
        <v>#VALUE!</v>
      </c>
      <c r="AJ4" t="e">
        <f>AND('En cours'!O3,"AAAAACebsSM=")</f>
        <v>#VALUE!</v>
      </c>
      <c r="AK4" t="e">
        <f>AND('En cours'!P3,"AAAAACebsSQ=")</f>
        <v>#VALUE!</v>
      </c>
      <c r="AL4" t="e">
        <f>AND('En cours'!Q3,"AAAAACebsSU=")</f>
        <v>#VALUE!</v>
      </c>
      <c r="AM4" t="e">
        <f>AND('En cours'!R3,"AAAAACebsSY=")</f>
        <v>#VALUE!</v>
      </c>
      <c r="AN4" t="e">
        <f>AND('En cours'!S3,"AAAAACebsSc=")</f>
        <v>#VALUE!</v>
      </c>
      <c r="AO4" t="e">
        <f>AND('En cours'!T3,"AAAAACebsSg=")</f>
        <v>#VALUE!</v>
      </c>
      <c r="AP4" t="e">
        <f>AND('En cours'!U3,"AAAAACebsSk=")</f>
        <v>#VALUE!</v>
      </c>
      <c r="AQ4" t="e">
        <f>AND('En cours'!V3,"AAAAACebsSo=")</f>
        <v>#VALUE!</v>
      </c>
      <c r="AR4" t="e">
        <f>AND('En cours'!W3,"AAAAACebsSs=")</f>
        <v>#VALUE!</v>
      </c>
      <c r="AS4" t="e">
        <f>AND('En cours'!X3,"AAAAACebsSw=")</f>
        <v>#VALUE!</v>
      </c>
      <c r="AT4" t="e">
        <f>AND('En cours'!Y3,"AAAAACebsS0=")</f>
        <v>#VALUE!</v>
      </c>
      <c r="AU4">
        <f>IF('En cours'!4:4,"AAAAACebsS4=",0)</f>
        <v>0</v>
      </c>
      <c r="AV4" t="e">
        <f>AND('En cours'!A4,"AAAAACebsS8=")</f>
        <v>#VALUE!</v>
      </c>
      <c r="AW4" t="e">
        <f>AND('En cours'!B4,"AAAAACebsTA=")</f>
        <v>#VALUE!</v>
      </c>
      <c r="AX4" t="e">
        <f>AND('En cours'!C4,"AAAAACebsTE=")</f>
        <v>#VALUE!</v>
      </c>
      <c r="AY4" t="e">
        <f>AND('En cours'!D4,"AAAAACebsTI=")</f>
        <v>#VALUE!</v>
      </c>
      <c r="AZ4" t="e">
        <f>AND('En cours'!E4,"AAAAACebsTM=")</f>
        <v>#VALUE!</v>
      </c>
      <c r="BA4" t="e">
        <f>AND('En cours'!F4,"AAAAACebsTQ=")</f>
        <v>#VALUE!</v>
      </c>
      <c r="BB4" t="e">
        <f>AND('En cours'!G4,"AAAAACebsTU=")</f>
        <v>#VALUE!</v>
      </c>
      <c r="BC4" t="e">
        <f>AND('En cours'!H4,"AAAAACebsTY=")</f>
        <v>#VALUE!</v>
      </c>
      <c r="BD4" t="e">
        <f>AND('En cours'!I4,"AAAAACebsTc=")</f>
        <v>#VALUE!</v>
      </c>
      <c r="BE4" t="e">
        <f>AND('En cours'!J4,"AAAAACebsTg=")</f>
        <v>#VALUE!</v>
      </c>
      <c r="BF4" t="e">
        <f>AND('En cours'!K4,"AAAAACebsTk=")</f>
        <v>#VALUE!</v>
      </c>
      <c r="BG4" t="e">
        <f>AND('En cours'!L4,"AAAAACebsTo=")</f>
        <v>#VALUE!</v>
      </c>
      <c r="BH4" t="e">
        <f>AND('En cours'!M4,"AAAAACebsTs=")</f>
        <v>#VALUE!</v>
      </c>
      <c r="BI4" t="e">
        <f>AND('En cours'!N4,"AAAAACebsTw=")</f>
        <v>#VALUE!</v>
      </c>
      <c r="BJ4" t="e">
        <f>AND('En cours'!O4,"AAAAACebsT0=")</f>
        <v>#VALUE!</v>
      </c>
      <c r="BK4" t="e">
        <f>AND('En cours'!P4,"AAAAACebsT4=")</f>
        <v>#VALUE!</v>
      </c>
      <c r="BL4" t="e">
        <f>AND('En cours'!Q4,"AAAAACebsT8=")</f>
        <v>#VALUE!</v>
      </c>
      <c r="BM4" t="e">
        <f>AND('En cours'!R4,"AAAAACebsUA=")</f>
        <v>#VALUE!</v>
      </c>
      <c r="BN4" t="e">
        <f>AND('En cours'!S4,"AAAAACebsUE=")</f>
        <v>#VALUE!</v>
      </c>
      <c r="BO4" t="e">
        <f>AND('En cours'!T4,"AAAAACebsUI=")</f>
        <v>#VALUE!</v>
      </c>
      <c r="BP4" t="e">
        <f>AND('En cours'!U4,"AAAAACebsUM=")</f>
        <v>#VALUE!</v>
      </c>
      <c r="BQ4" t="e">
        <f>AND('En cours'!V4,"AAAAACebsUQ=")</f>
        <v>#VALUE!</v>
      </c>
      <c r="BR4" t="e">
        <f>AND('En cours'!W4,"AAAAACebsUU=")</f>
        <v>#VALUE!</v>
      </c>
      <c r="BS4" t="e">
        <f>AND('En cours'!X4,"AAAAACebsUY=")</f>
        <v>#VALUE!</v>
      </c>
      <c r="BT4" t="e">
        <f>AND('En cours'!Y4,"AAAAACebsUc=")</f>
        <v>#VALUE!</v>
      </c>
      <c r="BU4">
        <f>IF('En cours'!5:5,"AAAAACebsUg=",0)</f>
        <v>0</v>
      </c>
      <c r="BV4" t="e">
        <f>AND('En cours'!A5,"AAAAACebsUk=")</f>
        <v>#VALUE!</v>
      </c>
      <c r="BW4" t="e">
        <f>AND('En cours'!B5,"AAAAACebsUo=")</f>
        <v>#VALUE!</v>
      </c>
      <c r="BX4" t="e">
        <f>AND('En cours'!C5,"AAAAACebsUs=")</f>
        <v>#VALUE!</v>
      </c>
      <c r="BY4" t="e">
        <f>AND('En cours'!D5,"AAAAACebsUw=")</f>
        <v>#VALUE!</v>
      </c>
      <c r="BZ4" t="e">
        <f>AND('En cours'!E5,"AAAAACebsU0=")</f>
        <v>#VALUE!</v>
      </c>
      <c r="CA4" t="e">
        <f>AND('En cours'!F5,"AAAAACebsU4=")</f>
        <v>#VALUE!</v>
      </c>
      <c r="CB4" t="e">
        <f>AND('En cours'!G5,"AAAAACebsU8=")</f>
        <v>#VALUE!</v>
      </c>
      <c r="CC4" t="e">
        <f>AND('En cours'!H5,"AAAAACebsVA=")</f>
        <v>#VALUE!</v>
      </c>
      <c r="CD4" t="e">
        <f>AND('En cours'!I5,"AAAAACebsVE=")</f>
        <v>#VALUE!</v>
      </c>
      <c r="CE4" t="e">
        <f>AND('En cours'!J5,"AAAAACebsVI=")</f>
        <v>#VALUE!</v>
      </c>
      <c r="CF4" t="e">
        <f>AND('En cours'!K5,"AAAAACebsVM=")</f>
        <v>#VALUE!</v>
      </c>
      <c r="CG4" t="e">
        <f>AND('En cours'!L5,"AAAAACebsVQ=")</f>
        <v>#VALUE!</v>
      </c>
      <c r="CH4" t="e">
        <f>AND('En cours'!M5,"AAAAACebsVU=")</f>
        <v>#VALUE!</v>
      </c>
      <c r="CI4" t="e">
        <f>AND('En cours'!N5,"AAAAACebsVY=")</f>
        <v>#VALUE!</v>
      </c>
      <c r="CJ4" t="e">
        <f>AND('En cours'!O5,"AAAAACebsVc=")</f>
        <v>#VALUE!</v>
      </c>
      <c r="CK4" t="e">
        <f>AND('En cours'!P5,"AAAAACebsVg=")</f>
        <v>#VALUE!</v>
      </c>
      <c r="CL4" t="e">
        <f>AND('En cours'!Q5,"AAAAACebsVk=")</f>
        <v>#VALUE!</v>
      </c>
      <c r="CM4" t="e">
        <f>AND('En cours'!R5,"AAAAACebsVo=")</f>
        <v>#VALUE!</v>
      </c>
      <c r="CN4" t="e">
        <f>AND('En cours'!S5,"AAAAACebsVs=")</f>
        <v>#VALUE!</v>
      </c>
      <c r="CO4" t="e">
        <f>AND('En cours'!T5,"AAAAACebsVw=")</f>
        <v>#VALUE!</v>
      </c>
      <c r="CP4" t="e">
        <f>AND('En cours'!U5,"AAAAACebsV0=")</f>
        <v>#VALUE!</v>
      </c>
      <c r="CQ4" t="e">
        <f>AND('En cours'!V5,"AAAAACebsV4=")</f>
        <v>#VALUE!</v>
      </c>
      <c r="CR4" t="e">
        <f>AND('En cours'!W5,"AAAAACebsV8=")</f>
        <v>#VALUE!</v>
      </c>
      <c r="CS4" t="e">
        <f>AND('En cours'!X5,"AAAAACebsWA=")</f>
        <v>#VALUE!</v>
      </c>
      <c r="CT4" t="e">
        <f>AND('En cours'!Y5,"AAAAACebsWE=")</f>
        <v>#VALUE!</v>
      </c>
      <c r="CU4">
        <f>IF('En cours'!6:6,"AAAAACebsWI=",0)</f>
        <v>0</v>
      </c>
      <c r="CV4" t="e">
        <f>AND('En cours'!A6,"AAAAACebsWM=")</f>
        <v>#VALUE!</v>
      </c>
      <c r="CW4" t="e">
        <f>AND('En cours'!B6,"AAAAACebsWQ=")</f>
        <v>#VALUE!</v>
      </c>
      <c r="CX4" t="e">
        <f>AND('En cours'!C6,"AAAAACebsWU=")</f>
        <v>#VALUE!</v>
      </c>
      <c r="CY4" t="e">
        <f>AND('En cours'!D6,"AAAAACebsWY=")</f>
        <v>#VALUE!</v>
      </c>
      <c r="CZ4" t="e">
        <f>AND('En cours'!E6,"AAAAACebsWc=")</f>
        <v>#VALUE!</v>
      </c>
      <c r="DA4" t="e">
        <f>AND('En cours'!F6,"AAAAACebsWg=")</f>
        <v>#VALUE!</v>
      </c>
      <c r="DB4" t="e">
        <f>AND('En cours'!G6,"AAAAACebsWk=")</f>
        <v>#VALUE!</v>
      </c>
      <c r="DC4" t="e">
        <f>AND('En cours'!H6,"AAAAACebsWo=")</f>
        <v>#VALUE!</v>
      </c>
      <c r="DD4" t="e">
        <f>AND('En cours'!I6,"AAAAACebsWs=")</f>
        <v>#VALUE!</v>
      </c>
      <c r="DE4" t="e">
        <f>AND('En cours'!J6,"AAAAACebsWw=")</f>
        <v>#VALUE!</v>
      </c>
      <c r="DF4" t="e">
        <f>AND('En cours'!K6,"AAAAACebsW0=")</f>
        <v>#VALUE!</v>
      </c>
      <c r="DG4" t="e">
        <f>AND('En cours'!L6,"AAAAACebsW4=")</f>
        <v>#VALUE!</v>
      </c>
      <c r="DH4" t="e">
        <f>AND('En cours'!M6,"AAAAACebsW8=")</f>
        <v>#VALUE!</v>
      </c>
      <c r="DI4" t="e">
        <f>AND('En cours'!N6,"AAAAACebsXA=")</f>
        <v>#VALUE!</v>
      </c>
      <c r="DJ4" t="e">
        <f>AND('En cours'!O6,"AAAAACebsXE=")</f>
        <v>#VALUE!</v>
      </c>
      <c r="DK4" t="e">
        <f>AND('En cours'!P6,"AAAAACebsXI=")</f>
        <v>#VALUE!</v>
      </c>
      <c r="DL4" t="e">
        <f>AND('En cours'!Q6,"AAAAACebsXM=")</f>
        <v>#VALUE!</v>
      </c>
      <c r="DM4" t="e">
        <f>AND('En cours'!R6,"AAAAACebsXQ=")</f>
        <v>#VALUE!</v>
      </c>
      <c r="DN4" t="e">
        <f>AND('En cours'!S6,"AAAAACebsXU=")</f>
        <v>#VALUE!</v>
      </c>
      <c r="DO4" t="e">
        <f>AND('En cours'!T6,"AAAAACebsXY=")</f>
        <v>#VALUE!</v>
      </c>
      <c r="DP4" t="e">
        <f>AND('En cours'!U6,"AAAAACebsXc=")</f>
        <v>#VALUE!</v>
      </c>
      <c r="DQ4" t="e">
        <f>AND('En cours'!V6,"AAAAACebsXg=")</f>
        <v>#VALUE!</v>
      </c>
      <c r="DR4" t="e">
        <f>AND('En cours'!W6,"AAAAACebsXk=")</f>
        <v>#VALUE!</v>
      </c>
      <c r="DS4" t="e">
        <f>AND('En cours'!X6,"AAAAACebsXo=")</f>
        <v>#VALUE!</v>
      </c>
      <c r="DT4" t="e">
        <f>AND('En cours'!Y6,"AAAAACebsXs=")</f>
        <v>#VALUE!</v>
      </c>
      <c r="DU4">
        <f>IF('En cours'!7:7,"AAAAACebsXw=",0)</f>
        <v>0</v>
      </c>
      <c r="DV4" t="e">
        <f>AND('En cours'!A7,"AAAAACebsX0=")</f>
        <v>#VALUE!</v>
      </c>
      <c r="DW4" t="e">
        <f>AND('En cours'!B7,"AAAAACebsX4=")</f>
        <v>#VALUE!</v>
      </c>
      <c r="DX4" t="e">
        <f>AND('En cours'!C7,"AAAAACebsX8=")</f>
        <v>#VALUE!</v>
      </c>
      <c r="DY4" t="e">
        <f>AND('En cours'!D7,"AAAAACebsYA=")</f>
        <v>#VALUE!</v>
      </c>
      <c r="DZ4" t="e">
        <f>AND('En cours'!E7,"AAAAACebsYE=")</f>
        <v>#VALUE!</v>
      </c>
      <c r="EA4" t="e">
        <f>AND('En cours'!F7,"AAAAACebsYI=")</f>
        <v>#VALUE!</v>
      </c>
      <c r="EB4" t="e">
        <f>AND('En cours'!G7,"AAAAACebsYM=")</f>
        <v>#VALUE!</v>
      </c>
      <c r="EC4" t="e">
        <f>AND('En cours'!H7,"AAAAACebsYQ=")</f>
        <v>#VALUE!</v>
      </c>
      <c r="ED4" t="e">
        <f>AND('En cours'!I7,"AAAAACebsYU=")</f>
        <v>#VALUE!</v>
      </c>
      <c r="EE4" t="e">
        <f>AND('En cours'!J7,"AAAAACebsYY=")</f>
        <v>#VALUE!</v>
      </c>
      <c r="EF4" t="e">
        <f>AND('En cours'!K7,"AAAAACebsYc=")</f>
        <v>#VALUE!</v>
      </c>
      <c r="EG4" t="e">
        <f>AND('En cours'!L7,"AAAAACebsYg=")</f>
        <v>#VALUE!</v>
      </c>
      <c r="EH4" t="e">
        <f>AND('En cours'!M7,"AAAAACebsYk=")</f>
        <v>#VALUE!</v>
      </c>
      <c r="EI4" t="e">
        <f>AND('En cours'!N7,"AAAAACebsYo=")</f>
        <v>#VALUE!</v>
      </c>
      <c r="EJ4" t="e">
        <f>AND('En cours'!O7,"AAAAACebsYs=")</f>
        <v>#VALUE!</v>
      </c>
      <c r="EK4" t="e">
        <f>AND('En cours'!P7,"AAAAACebsYw=")</f>
        <v>#VALUE!</v>
      </c>
      <c r="EL4" t="e">
        <f>AND('En cours'!Q7,"AAAAACebsY0=")</f>
        <v>#VALUE!</v>
      </c>
      <c r="EM4" t="e">
        <f>AND('En cours'!R7,"AAAAACebsY4=")</f>
        <v>#VALUE!</v>
      </c>
      <c r="EN4" t="e">
        <f>AND('En cours'!S7,"AAAAACebsY8=")</f>
        <v>#VALUE!</v>
      </c>
      <c r="EO4" t="e">
        <f>AND('En cours'!T7,"AAAAACebsZA=")</f>
        <v>#VALUE!</v>
      </c>
      <c r="EP4" t="e">
        <f>AND('En cours'!U7,"AAAAACebsZE=")</f>
        <v>#VALUE!</v>
      </c>
      <c r="EQ4" t="e">
        <f>AND('En cours'!V7,"AAAAACebsZI=")</f>
        <v>#VALUE!</v>
      </c>
      <c r="ER4" t="e">
        <f>AND('En cours'!W7,"AAAAACebsZM=")</f>
        <v>#VALUE!</v>
      </c>
      <c r="ES4" t="e">
        <f>AND('En cours'!X7,"AAAAACebsZQ=")</f>
        <v>#VALUE!</v>
      </c>
      <c r="ET4" t="e">
        <f>AND('En cours'!Y7,"AAAAACebsZU=")</f>
        <v>#VALUE!</v>
      </c>
      <c r="EU4">
        <f>IF('En cours'!8:8,"AAAAACebsZY=",0)</f>
        <v>0</v>
      </c>
      <c r="EV4" t="e">
        <f>AND('En cours'!A8,"AAAAACebsZc=")</f>
        <v>#VALUE!</v>
      </c>
      <c r="EW4" t="e">
        <f>AND('En cours'!B8,"AAAAACebsZg=")</f>
        <v>#VALUE!</v>
      </c>
      <c r="EX4" t="e">
        <f>AND('En cours'!C8,"AAAAACebsZk=")</f>
        <v>#VALUE!</v>
      </c>
      <c r="EY4" t="e">
        <f>AND('En cours'!D8,"AAAAACebsZo=")</f>
        <v>#VALUE!</v>
      </c>
      <c r="EZ4" t="e">
        <f>AND('En cours'!E8,"AAAAACebsZs=")</f>
        <v>#VALUE!</v>
      </c>
      <c r="FA4" t="e">
        <f>AND('En cours'!F8,"AAAAACebsZw=")</f>
        <v>#VALUE!</v>
      </c>
      <c r="FB4" t="e">
        <f>AND('En cours'!G8,"AAAAACebsZ0=")</f>
        <v>#VALUE!</v>
      </c>
      <c r="FC4" t="e">
        <f>AND('En cours'!H8,"AAAAACebsZ4=")</f>
        <v>#VALUE!</v>
      </c>
      <c r="FD4" t="e">
        <f>AND('En cours'!I8,"AAAAACebsZ8=")</f>
        <v>#VALUE!</v>
      </c>
      <c r="FE4" t="e">
        <f>AND('En cours'!J8,"AAAAACebsaA=")</f>
        <v>#VALUE!</v>
      </c>
      <c r="FF4" t="e">
        <f>AND('En cours'!K8,"AAAAACebsaE=")</f>
        <v>#VALUE!</v>
      </c>
      <c r="FG4" t="e">
        <f>AND('En cours'!L8,"AAAAACebsaI=")</f>
        <v>#VALUE!</v>
      </c>
      <c r="FH4" t="e">
        <f>AND('En cours'!M8,"AAAAACebsaM=")</f>
        <v>#VALUE!</v>
      </c>
      <c r="FI4" t="e">
        <f>AND('En cours'!N8,"AAAAACebsaQ=")</f>
        <v>#VALUE!</v>
      </c>
      <c r="FJ4" t="e">
        <f>AND('En cours'!O8,"AAAAACebsaU=")</f>
        <v>#VALUE!</v>
      </c>
      <c r="FK4" t="e">
        <f>AND('En cours'!P8,"AAAAACebsaY=")</f>
        <v>#VALUE!</v>
      </c>
      <c r="FL4" t="e">
        <f>AND('En cours'!Q8,"AAAAACebsac=")</f>
        <v>#VALUE!</v>
      </c>
      <c r="FM4" t="e">
        <f>AND('En cours'!R8,"AAAAACebsag=")</f>
        <v>#VALUE!</v>
      </c>
      <c r="FN4" t="e">
        <f>AND('En cours'!S8,"AAAAACebsak=")</f>
        <v>#VALUE!</v>
      </c>
      <c r="FO4" t="e">
        <f>AND('En cours'!T8,"AAAAACebsao=")</f>
        <v>#VALUE!</v>
      </c>
      <c r="FP4" t="e">
        <f>AND('En cours'!U8,"AAAAACebsas=")</f>
        <v>#VALUE!</v>
      </c>
      <c r="FQ4" t="e">
        <f>AND('En cours'!V8,"AAAAACebsaw=")</f>
        <v>#VALUE!</v>
      </c>
      <c r="FR4" t="e">
        <f>AND('En cours'!W8,"AAAAACebsa0=")</f>
        <v>#VALUE!</v>
      </c>
      <c r="FS4" t="e">
        <f>AND('En cours'!X8,"AAAAACebsa4=")</f>
        <v>#VALUE!</v>
      </c>
      <c r="FT4" t="e">
        <f>AND('En cours'!Y8,"AAAAACebsa8=")</f>
        <v>#VALUE!</v>
      </c>
      <c r="FU4">
        <f>IF('En cours'!9:9,"AAAAACebsbA=",0)</f>
        <v>0</v>
      </c>
      <c r="FV4" t="e">
        <f>AND('En cours'!A9,"AAAAACebsbE=")</f>
        <v>#VALUE!</v>
      </c>
      <c r="FW4" t="e">
        <f>AND('En cours'!E9,"AAAAACebsbI=")</f>
        <v>#VALUE!</v>
      </c>
      <c r="FX4" t="e">
        <f>AND('En cours'!C9,"AAAAACebsbM=")</f>
        <v>#VALUE!</v>
      </c>
      <c r="FY4" t="e">
        <f>AND('En cours'!D9,"AAAAACebsbQ=")</f>
        <v>#VALUE!</v>
      </c>
      <c r="FZ4" t="e">
        <f>AND('En cours'!#REF!,"AAAAACebsbU=")</f>
        <v>#REF!</v>
      </c>
      <c r="GA4" t="e">
        <f>AND('En cours'!F9,"AAAAACebsbY=")</f>
        <v>#VALUE!</v>
      </c>
      <c r="GB4" t="e">
        <f>AND('En cours'!G9,"AAAAACebsbc=")</f>
        <v>#VALUE!</v>
      </c>
      <c r="GC4" t="e">
        <f>AND('En cours'!H9,"AAAAACebsbg=")</f>
        <v>#VALUE!</v>
      </c>
      <c r="GD4" t="e">
        <f>AND('En cours'!I9,"AAAAACebsbk=")</f>
        <v>#VALUE!</v>
      </c>
      <c r="GE4" t="e">
        <f>AND('En cours'!J9,"AAAAACebsbo=")</f>
        <v>#VALUE!</v>
      </c>
      <c r="GF4" t="e">
        <f>AND('En cours'!K9,"AAAAACebsbs=")</f>
        <v>#VALUE!</v>
      </c>
      <c r="GG4" t="e">
        <f>AND('En cours'!L9,"AAAAACebsbw=")</f>
        <v>#VALUE!</v>
      </c>
      <c r="GH4" t="e">
        <f>AND('En cours'!M9,"AAAAACebsb0=")</f>
        <v>#VALUE!</v>
      </c>
      <c r="GI4" t="e">
        <f>AND('En cours'!N9,"AAAAACebsb4=")</f>
        <v>#VALUE!</v>
      </c>
      <c r="GJ4" t="e">
        <f>AND('En cours'!O9,"AAAAACebsb8=")</f>
        <v>#VALUE!</v>
      </c>
      <c r="GK4" t="e">
        <f>AND('En cours'!P9,"AAAAACebscA=")</f>
        <v>#VALUE!</v>
      </c>
      <c r="GL4" t="e">
        <f>AND('En cours'!Q9,"AAAAACebscE=")</f>
        <v>#VALUE!</v>
      </c>
      <c r="GM4" t="e">
        <f>AND('En cours'!R9,"AAAAACebscI=")</f>
        <v>#VALUE!</v>
      </c>
      <c r="GN4" t="e">
        <f>AND('En cours'!S9,"AAAAACebscM=")</f>
        <v>#VALUE!</v>
      </c>
      <c r="GO4" t="e">
        <f>AND('En cours'!T9,"AAAAACebscQ=")</f>
        <v>#VALUE!</v>
      </c>
      <c r="GP4" t="e">
        <f>AND('En cours'!U9,"AAAAACebscU=")</f>
        <v>#VALUE!</v>
      </c>
      <c r="GQ4" t="e">
        <f>AND('En cours'!V9,"AAAAACebscY=")</f>
        <v>#VALUE!</v>
      </c>
      <c r="GR4" t="e">
        <f>AND('En cours'!W9,"AAAAACebscc=")</f>
        <v>#VALUE!</v>
      </c>
      <c r="GS4" t="e">
        <f>AND('En cours'!X9,"AAAAACebscg=")</f>
        <v>#VALUE!</v>
      </c>
      <c r="GT4" t="e">
        <f>AND('En cours'!Y9,"AAAAACebsck=")</f>
        <v>#VALUE!</v>
      </c>
      <c r="GU4">
        <f>IF('En cours'!10:10,"AAAAACebsco=",0)</f>
        <v>0</v>
      </c>
      <c r="GV4" t="e">
        <f>AND('En cours'!A10,"AAAAACebscs=")</f>
        <v>#VALUE!</v>
      </c>
      <c r="GW4" t="e">
        <f>AND('En cours'!E10,"AAAAACebscw=")</f>
        <v>#VALUE!</v>
      </c>
      <c r="GX4" t="e">
        <f>AND('En cours'!C10,"AAAAACebsc0=")</f>
        <v>#VALUE!</v>
      </c>
      <c r="GY4" t="e">
        <f>AND('En cours'!D10,"AAAAACebsc4=")</f>
        <v>#VALUE!</v>
      </c>
      <c r="GZ4" t="e">
        <f>AND('En cours'!#REF!,"AAAAACebsc8=")</f>
        <v>#REF!</v>
      </c>
      <c r="HA4" t="e">
        <f>AND('En cours'!F10,"AAAAACebsdA=")</f>
        <v>#VALUE!</v>
      </c>
      <c r="HB4" t="e">
        <f>AND('En cours'!G10,"AAAAACebsdE=")</f>
        <v>#VALUE!</v>
      </c>
      <c r="HC4" t="e">
        <f>AND('En cours'!H10,"AAAAACebsdI=")</f>
        <v>#VALUE!</v>
      </c>
      <c r="HD4" t="e">
        <f>AND('En cours'!I10,"AAAAACebsdM=")</f>
        <v>#VALUE!</v>
      </c>
      <c r="HE4" t="e">
        <f>AND('En cours'!J10,"AAAAACebsdQ=")</f>
        <v>#VALUE!</v>
      </c>
      <c r="HF4" t="e">
        <f>AND('En cours'!K10,"AAAAACebsdU=")</f>
        <v>#VALUE!</v>
      </c>
      <c r="HG4" t="e">
        <f>AND('En cours'!L10,"AAAAACebsdY=")</f>
        <v>#VALUE!</v>
      </c>
      <c r="HH4" t="e">
        <f>AND('En cours'!M10,"AAAAACebsdc=")</f>
        <v>#VALUE!</v>
      </c>
      <c r="HI4" t="e">
        <f>AND('En cours'!N10,"AAAAACebsdg=")</f>
        <v>#VALUE!</v>
      </c>
      <c r="HJ4" t="e">
        <f>AND('En cours'!O10,"AAAAACebsdk=")</f>
        <v>#VALUE!</v>
      </c>
      <c r="HK4" t="e">
        <f>AND('En cours'!P10,"AAAAACebsdo=")</f>
        <v>#VALUE!</v>
      </c>
      <c r="HL4" t="e">
        <f>AND('En cours'!Q10,"AAAAACebsds=")</f>
        <v>#VALUE!</v>
      </c>
      <c r="HM4" t="e">
        <f>AND('En cours'!R10,"AAAAACebsdw=")</f>
        <v>#VALUE!</v>
      </c>
      <c r="HN4" t="e">
        <f>AND('En cours'!S10,"AAAAACebsd0=")</f>
        <v>#VALUE!</v>
      </c>
      <c r="HO4" t="e">
        <f>AND('En cours'!T10,"AAAAACebsd4=")</f>
        <v>#VALUE!</v>
      </c>
      <c r="HP4" t="e">
        <f>AND('En cours'!U10,"AAAAACebsd8=")</f>
        <v>#VALUE!</v>
      </c>
      <c r="HQ4" t="e">
        <f>AND('En cours'!V10,"AAAAACebseA=")</f>
        <v>#VALUE!</v>
      </c>
      <c r="HR4" t="e">
        <f>AND('En cours'!W10,"AAAAACebseE=")</f>
        <v>#VALUE!</v>
      </c>
      <c r="HS4" t="e">
        <f>AND('En cours'!X10,"AAAAACebseI=")</f>
        <v>#VALUE!</v>
      </c>
      <c r="HT4" t="e">
        <f>AND('En cours'!Y10,"AAAAACebseM=")</f>
        <v>#VALUE!</v>
      </c>
      <c r="HU4">
        <f>IF('En cours'!11:11,"AAAAACebseQ=",0)</f>
        <v>0</v>
      </c>
      <c r="HV4" t="e">
        <f>AND('En cours'!A11,"AAAAACebseU=")</f>
        <v>#VALUE!</v>
      </c>
      <c r="HW4" t="e">
        <f>AND('En cours'!E11,"AAAAACebseY=")</f>
        <v>#VALUE!</v>
      </c>
      <c r="HX4" t="e">
        <f>AND('En cours'!C11,"AAAAACebsec=")</f>
        <v>#VALUE!</v>
      </c>
      <c r="HY4" t="e">
        <f>AND('En cours'!D11,"AAAAACebseg=")</f>
        <v>#VALUE!</v>
      </c>
      <c r="HZ4" t="e">
        <f>AND('En cours'!#REF!,"AAAAACebsek=")</f>
        <v>#REF!</v>
      </c>
      <c r="IA4" t="e">
        <f>AND('En cours'!F11,"AAAAACebseo=")</f>
        <v>#VALUE!</v>
      </c>
      <c r="IB4" t="e">
        <f>AND('En cours'!G11,"AAAAACebses=")</f>
        <v>#VALUE!</v>
      </c>
      <c r="IC4" t="e">
        <f>AND('En cours'!H11,"AAAAACebsew=")</f>
        <v>#VALUE!</v>
      </c>
      <c r="ID4" t="e">
        <f>AND('En cours'!I11,"AAAAACebse0=")</f>
        <v>#VALUE!</v>
      </c>
      <c r="IE4" t="e">
        <f>AND('En cours'!J11,"AAAAACebse4=")</f>
        <v>#VALUE!</v>
      </c>
      <c r="IF4" t="e">
        <f>AND('En cours'!P11,"AAAAACebse8=")</f>
        <v>#VALUE!</v>
      </c>
      <c r="IG4" t="e">
        <f>AND('En cours'!L11,"AAAAACebsfA=")</f>
        <v>#VALUE!</v>
      </c>
      <c r="IH4" t="e">
        <f>AND('En cours'!M11,"AAAAACebsfE=")</f>
        <v>#VALUE!</v>
      </c>
      <c r="II4" t="e">
        <f>AND('En cours'!#REF!,"AAAAACebsfI=")</f>
        <v>#REF!</v>
      </c>
      <c r="IJ4" t="e">
        <f>AND('En cours'!#REF!,"AAAAACebsfM=")</f>
        <v>#REF!</v>
      </c>
      <c r="IK4" t="e">
        <f>AND('En cours'!#REF!,"AAAAACebsfQ=")</f>
        <v>#REF!</v>
      </c>
      <c r="IL4" t="e">
        <f>AND('En cours'!Q11,"AAAAACebsfU=")</f>
        <v>#VALUE!</v>
      </c>
      <c r="IM4" t="e">
        <f>AND('En cours'!R11,"AAAAACebsfY=")</f>
        <v>#VALUE!</v>
      </c>
      <c r="IN4" t="e">
        <f>AND('En cours'!S11,"AAAAACebsfc=")</f>
        <v>#VALUE!</v>
      </c>
      <c r="IO4" t="e">
        <f>AND('En cours'!T11,"AAAAACebsfg=")</f>
        <v>#VALUE!</v>
      </c>
      <c r="IP4" t="e">
        <f>AND('En cours'!U11,"AAAAACebsfk=")</f>
        <v>#VALUE!</v>
      </c>
      <c r="IQ4" t="e">
        <f>AND('En cours'!V11,"AAAAACebsfo=")</f>
        <v>#VALUE!</v>
      </c>
      <c r="IR4" t="e">
        <f>AND('En cours'!W11,"AAAAACebsfs=")</f>
        <v>#VALUE!</v>
      </c>
      <c r="IS4" t="e">
        <f>AND('En cours'!X11,"AAAAACebsfw=")</f>
        <v>#VALUE!</v>
      </c>
      <c r="IT4" t="e">
        <f>AND('En cours'!Y11,"AAAAACebsf0=")</f>
        <v>#VALUE!</v>
      </c>
      <c r="IU4">
        <f>IF('En cours'!12:12,"AAAAACebsf4=",0)</f>
        <v>0</v>
      </c>
      <c r="IV4" t="e">
        <f>AND('En cours'!A12,"AAAAACebsf8=")</f>
        <v>#VALUE!</v>
      </c>
    </row>
    <row r="5" spans="1:256" ht="12.75">
      <c r="A5" t="e">
        <f>AND('En cours'!B12,"AAAAAH9/3QA=")</f>
        <v>#VALUE!</v>
      </c>
      <c r="B5" t="e">
        <f>AND('En cours'!C12,"AAAAAH9/3QE=")</f>
        <v>#VALUE!</v>
      </c>
      <c r="C5" t="e">
        <f>AND('En cours'!D12,"AAAAAH9/3QI=")</f>
        <v>#VALUE!</v>
      </c>
      <c r="D5" t="e">
        <f>AND('En cours'!E12,"AAAAAH9/3QM=")</f>
        <v>#VALUE!</v>
      </c>
      <c r="E5" t="e">
        <f>AND('En cours'!F12,"AAAAAH9/3QQ=")</f>
        <v>#VALUE!</v>
      </c>
      <c r="F5" t="e">
        <f>AND('En cours'!G12,"AAAAAH9/3QU=")</f>
        <v>#VALUE!</v>
      </c>
      <c r="G5" t="e">
        <f>AND('En cours'!H12,"AAAAAH9/3QY=")</f>
        <v>#VALUE!</v>
      </c>
      <c r="H5" t="e">
        <f>AND('En cours'!I12,"AAAAAH9/3Qc=")</f>
        <v>#VALUE!</v>
      </c>
      <c r="I5" t="e">
        <f>AND('En cours'!J12,"AAAAAH9/3Qg=")</f>
        <v>#VALUE!</v>
      </c>
      <c r="J5" t="e">
        <f>AND('En cours'!K12,"AAAAAH9/3Qk=")</f>
        <v>#VALUE!</v>
      </c>
      <c r="K5" t="e">
        <f>AND('En cours'!L12,"AAAAAH9/3Qo=")</f>
        <v>#VALUE!</v>
      </c>
      <c r="L5" t="e">
        <f>AND('En cours'!M12,"AAAAAH9/3Qs=")</f>
        <v>#VALUE!</v>
      </c>
      <c r="M5" t="e">
        <f>AND('En cours'!N12,"AAAAAH9/3Qw=")</f>
        <v>#VALUE!</v>
      </c>
      <c r="N5" t="e">
        <f>AND('En cours'!O12,"AAAAAH9/3Q0=")</f>
        <v>#VALUE!</v>
      </c>
      <c r="O5" t="e">
        <f>AND('En cours'!P12,"AAAAAH9/3Q4=")</f>
        <v>#VALUE!</v>
      </c>
      <c r="P5" t="e">
        <f>AND('En cours'!Q12,"AAAAAH9/3Q8=")</f>
        <v>#VALUE!</v>
      </c>
      <c r="Q5" t="e">
        <f>AND('En cours'!R12,"AAAAAH9/3RA=")</f>
        <v>#VALUE!</v>
      </c>
      <c r="R5" t="e">
        <f>AND('En cours'!S12,"AAAAAH9/3RE=")</f>
        <v>#VALUE!</v>
      </c>
      <c r="S5" t="e">
        <f>AND('En cours'!T12,"AAAAAH9/3RI=")</f>
        <v>#VALUE!</v>
      </c>
      <c r="T5" t="e">
        <f>AND('En cours'!U12,"AAAAAH9/3RM=")</f>
        <v>#VALUE!</v>
      </c>
      <c r="U5" t="e">
        <f>AND('En cours'!V12,"AAAAAH9/3RQ=")</f>
        <v>#VALUE!</v>
      </c>
      <c r="V5" t="e">
        <f>AND('En cours'!W12,"AAAAAH9/3RU=")</f>
        <v>#VALUE!</v>
      </c>
      <c r="W5" t="e">
        <f>AND('En cours'!X12,"AAAAAH9/3RY=")</f>
        <v>#VALUE!</v>
      </c>
      <c r="X5" t="e">
        <f>AND('En cours'!Y12,"AAAAAH9/3Rc=")</f>
        <v>#VALUE!</v>
      </c>
      <c r="Y5">
        <f>IF('En cours'!13:13,"AAAAAH9/3Rg=",0)</f>
        <v>0</v>
      </c>
      <c r="Z5" t="e">
        <f>AND('En cours'!A13,"AAAAAH9/3Rk=")</f>
        <v>#VALUE!</v>
      </c>
      <c r="AA5" t="e">
        <f>AND('En cours'!E13,"AAAAAH9/3Ro=")</f>
        <v>#VALUE!</v>
      </c>
      <c r="AB5" t="e">
        <f>AND('En cours'!C13,"AAAAAH9/3Rs=")</f>
        <v>#VALUE!</v>
      </c>
      <c r="AC5" t="e">
        <f>AND('En cours'!D13,"AAAAAH9/3Rw=")</f>
        <v>#VALUE!</v>
      </c>
      <c r="AD5" t="e">
        <f>AND('En cours'!#REF!,"AAAAAH9/3R0=")</f>
        <v>#REF!</v>
      </c>
      <c r="AE5" t="e">
        <f>AND('En cours'!F13,"AAAAAH9/3R4=")</f>
        <v>#VALUE!</v>
      </c>
      <c r="AF5" t="e">
        <f>AND('En cours'!G13,"AAAAAH9/3R8=")</f>
        <v>#VALUE!</v>
      </c>
      <c r="AG5" t="e">
        <f>AND('En cours'!H13,"AAAAAH9/3SA=")</f>
        <v>#VALUE!</v>
      </c>
      <c r="AH5" t="e">
        <f>AND('En cours'!I13,"AAAAAH9/3SE=")</f>
        <v>#VALUE!</v>
      </c>
      <c r="AI5" t="e">
        <f>AND('En cours'!J13,"AAAAAH9/3SI=")</f>
        <v>#VALUE!</v>
      </c>
      <c r="AJ5" t="e">
        <f>AND('En cours'!K13,"AAAAAH9/3SM=")</f>
        <v>#VALUE!</v>
      </c>
      <c r="AK5" t="e">
        <f>AND('En cours'!L13,"AAAAAH9/3SQ=")</f>
        <v>#VALUE!</v>
      </c>
      <c r="AL5" t="e">
        <f>AND('En cours'!M13,"AAAAAH9/3SU=")</f>
        <v>#VALUE!</v>
      </c>
      <c r="AM5" t="e">
        <f>AND('En cours'!N13,"AAAAAH9/3SY=")</f>
        <v>#VALUE!</v>
      </c>
      <c r="AN5" t="e">
        <f>AND('En cours'!O13,"AAAAAH9/3Sc=")</f>
        <v>#VALUE!</v>
      </c>
      <c r="AO5" t="e">
        <f>AND('En cours'!P13,"AAAAAH9/3Sg=")</f>
        <v>#VALUE!</v>
      </c>
      <c r="AP5" t="e">
        <f>AND('En cours'!Q13,"AAAAAH9/3Sk=")</f>
        <v>#VALUE!</v>
      </c>
      <c r="AQ5" t="e">
        <f>AND('En cours'!R13,"AAAAAH9/3So=")</f>
        <v>#VALUE!</v>
      </c>
      <c r="AR5" t="e">
        <f>AND('En cours'!S13,"AAAAAH9/3Ss=")</f>
        <v>#VALUE!</v>
      </c>
      <c r="AS5" t="e">
        <f>AND('En cours'!T13,"AAAAAH9/3Sw=")</f>
        <v>#VALUE!</v>
      </c>
      <c r="AT5" t="e">
        <f>AND('En cours'!U13,"AAAAAH9/3S0=")</f>
        <v>#VALUE!</v>
      </c>
      <c r="AU5" t="e">
        <f>AND('En cours'!V13,"AAAAAH9/3S4=")</f>
        <v>#VALUE!</v>
      </c>
      <c r="AV5" t="e">
        <f>AND('En cours'!W13,"AAAAAH9/3S8=")</f>
        <v>#VALUE!</v>
      </c>
      <c r="AW5" t="e">
        <f>AND('En cours'!X13,"AAAAAH9/3TA=")</f>
        <v>#VALUE!</v>
      </c>
      <c r="AX5" t="e">
        <f>AND('En cours'!Y13,"AAAAAH9/3TE=")</f>
        <v>#VALUE!</v>
      </c>
      <c r="AY5">
        <f>IF('En cours'!31:31,"AAAAAH9/3TI=",0)</f>
        <v>0</v>
      </c>
      <c r="AZ5" t="e">
        <f>AND('En cours'!A31,"AAAAAH9/3TM=")</f>
        <v>#VALUE!</v>
      </c>
      <c r="BA5" t="e">
        <f>AND('En cours'!E31,"AAAAAH9/3TQ=")</f>
        <v>#VALUE!</v>
      </c>
      <c r="BB5" t="e">
        <f>AND('En cours'!C31,"AAAAAH9/3TU=")</f>
        <v>#VALUE!</v>
      </c>
      <c r="BC5" t="e">
        <f>AND('En cours'!D31,"AAAAAH9/3TY=")</f>
        <v>#VALUE!</v>
      </c>
      <c r="BD5" t="e">
        <f>AND('En cours'!#REF!,"AAAAAH9/3Tc=")</f>
        <v>#REF!</v>
      </c>
      <c r="BE5" t="e">
        <f>AND('En cours'!F31,"AAAAAH9/3Tg=")</f>
        <v>#VALUE!</v>
      </c>
      <c r="BF5" t="e">
        <f>AND('En cours'!G31,"AAAAAH9/3Tk=")</f>
        <v>#VALUE!</v>
      </c>
      <c r="BG5" t="e">
        <f>AND('En cours'!H31,"AAAAAH9/3To=")</f>
        <v>#VALUE!</v>
      </c>
      <c r="BH5" t="e">
        <f>AND('En cours'!I31,"AAAAAH9/3Ts=")</f>
        <v>#VALUE!</v>
      </c>
      <c r="BI5" t="e">
        <f>AND('En cours'!J31,"AAAAAH9/3Tw=")</f>
        <v>#VALUE!</v>
      </c>
      <c r="BJ5" t="e">
        <f>AND('En cours'!K31,"AAAAAH9/3T0=")</f>
        <v>#VALUE!</v>
      </c>
      <c r="BK5" t="e">
        <f>AND('En cours'!L31,"AAAAAH9/3T4=")</f>
        <v>#VALUE!</v>
      </c>
      <c r="BL5" t="e">
        <f>AND('En cours'!M31,"AAAAAH9/3T8=")</f>
        <v>#VALUE!</v>
      </c>
      <c r="BM5" t="e">
        <f>AND('En cours'!N31,"AAAAAH9/3UA=")</f>
        <v>#VALUE!</v>
      </c>
      <c r="BN5" t="e">
        <f>AND('En cours'!O31,"AAAAAH9/3UE=")</f>
        <v>#VALUE!</v>
      </c>
      <c r="BO5" t="e">
        <f>AND('En cours'!P31,"AAAAAH9/3UI=")</f>
        <v>#VALUE!</v>
      </c>
      <c r="BP5" t="e">
        <f>AND('En cours'!Q31,"AAAAAH9/3UM=")</f>
        <v>#VALUE!</v>
      </c>
      <c r="BQ5" t="e">
        <f>AND('En cours'!R31,"AAAAAH9/3UQ=")</f>
        <v>#VALUE!</v>
      </c>
      <c r="BR5" t="e">
        <f>AND('En cours'!S31,"AAAAAH9/3UU=")</f>
        <v>#VALUE!</v>
      </c>
      <c r="BS5" t="e">
        <f>AND('En cours'!T31,"AAAAAH9/3UY=")</f>
        <v>#VALUE!</v>
      </c>
      <c r="BT5" t="e">
        <f>AND('En cours'!U31,"AAAAAH9/3Uc=")</f>
        <v>#VALUE!</v>
      </c>
      <c r="BU5" t="e">
        <f>AND('En cours'!V31,"AAAAAH9/3Ug=")</f>
        <v>#VALUE!</v>
      </c>
      <c r="BV5" t="e">
        <f>AND('En cours'!W31,"AAAAAH9/3Uk=")</f>
        <v>#VALUE!</v>
      </c>
      <c r="BW5" t="e">
        <f>AND('En cours'!X31,"AAAAAH9/3Uo=")</f>
        <v>#VALUE!</v>
      </c>
      <c r="BX5" t="e">
        <f>AND('En cours'!Y31,"AAAAAH9/3Us=")</f>
        <v>#VALUE!</v>
      </c>
      <c r="BY5" t="e">
        <f>IF('En cours'!#REF!,"AAAAAH9/3Uw=",0)</f>
        <v>#REF!</v>
      </c>
      <c r="BZ5" t="e">
        <f>AND('En cours'!#REF!,"AAAAAH9/3U0=")</f>
        <v>#REF!</v>
      </c>
      <c r="CA5" t="e">
        <f>AND('En cours'!#REF!,"AAAAAH9/3U4=")</f>
        <v>#REF!</v>
      </c>
      <c r="CB5" t="e">
        <f>AND('En cours'!#REF!,"AAAAAH9/3U8=")</f>
        <v>#REF!</v>
      </c>
      <c r="CC5" t="e">
        <f>AND('En cours'!#REF!,"AAAAAH9/3VA=")</f>
        <v>#REF!</v>
      </c>
      <c r="CD5" t="e">
        <f>AND('En cours'!#REF!,"AAAAAH9/3VE=")</f>
        <v>#REF!</v>
      </c>
      <c r="CE5" t="e">
        <f>AND('En cours'!#REF!,"AAAAAH9/3VI=")</f>
        <v>#REF!</v>
      </c>
      <c r="CF5" t="e">
        <f>AND('En cours'!#REF!,"AAAAAH9/3VM=")</f>
        <v>#REF!</v>
      </c>
      <c r="CG5" t="e">
        <f>AND('En cours'!#REF!,"AAAAAH9/3VQ=")</f>
        <v>#REF!</v>
      </c>
      <c r="CH5" t="e">
        <f>AND('En cours'!#REF!,"AAAAAH9/3VU=")</f>
        <v>#REF!</v>
      </c>
      <c r="CI5" t="e">
        <f>AND('En cours'!#REF!,"AAAAAH9/3VY=")</f>
        <v>#REF!</v>
      </c>
      <c r="CJ5" t="e">
        <f>AND('En cours'!#REF!,"AAAAAH9/3Vc=")</f>
        <v>#REF!</v>
      </c>
      <c r="CK5" t="e">
        <f>AND('En cours'!#REF!,"AAAAAH9/3Vg=")</f>
        <v>#REF!</v>
      </c>
      <c r="CL5" t="e">
        <f>AND('En cours'!#REF!,"AAAAAH9/3Vk=")</f>
        <v>#REF!</v>
      </c>
      <c r="CM5" t="e">
        <f>AND('En cours'!#REF!,"AAAAAH9/3Vo=")</f>
        <v>#REF!</v>
      </c>
      <c r="CN5" t="e">
        <f>AND('En cours'!#REF!,"AAAAAH9/3Vs=")</f>
        <v>#REF!</v>
      </c>
      <c r="CO5" t="e">
        <f>AND('En cours'!#REF!,"AAAAAH9/3Vw=")</f>
        <v>#REF!</v>
      </c>
      <c r="CP5" t="e">
        <f>AND('En cours'!#REF!,"AAAAAH9/3V0=")</f>
        <v>#REF!</v>
      </c>
      <c r="CQ5" t="e">
        <f>AND('En cours'!#REF!,"AAAAAH9/3V4=")</f>
        <v>#REF!</v>
      </c>
      <c r="CR5" t="e">
        <f>AND('En cours'!#REF!,"AAAAAH9/3V8=")</f>
        <v>#REF!</v>
      </c>
      <c r="CS5" t="e">
        <f>AND('En cours'!#REF!,"AAAAAH9/3WA=")</f>
        <v>#REF!</v>
      </c>
      <c r="CT5" t="e">
        <f>AND('En cours'!#REF!,"AAAAAH9/3WE=")</f>
        <v>#REF!</v>
      </c>
      <c r="CU5" t="e">
        <f>AND('En cours'!#REF!,"AAAAAH9/3WI=")</f>
        <v>#REF!</v>
      </c>
      <c r="CV5" t="e">
        <f>AND('En cours'!#REF!,"AAAAAH9/3WM=")</f>
        <v>#REF!</v>
      </c>
      <c r="CW5" t="e">
        <f>AND('En cours'!#REF!,"AAAAAH9/3WQ=")</f>
        <v>#REF!</v>
      </c>
      <c r="CX5" t="e">
        <f>AND('En cours'!#REF!,"AAAAAH9/3WU=")</f>
        <v>#REF!</v>
      </c>
      <c r="CY5" t="e">
        <f>IF('En cours'!#REF!,"AAAAAH9/3WY=",0)</f>
        <v>#REF!</v>
      </c>
      <c r="CZ5" t="e">
        <f>AND('En cours'!#REF!,"AAAAAH9/3Wc=")</f>
        <v>#REF!</v>
      </c>
      <c r="DA5" t="e">
        <f>AND('En cours'!#REF!,"AAAAAH9/3Wg=")</f>
        <v>#REF!</v>
      </c>
      <c r="DB5" t="e">
        <f>AND('En cours'!#REF!,"AAAAAH9/3Wk=")</f>
        <v>#REF!</v>
      </c>
      <c r="DC5" t="e">
        <f>AND('En cours'!#REF!,"AAAAAH9/3Wo=")</f>
        <v>#REF!</v>
      </c>
      <c r="DD5" t="e">
        <f>AND('En cours'!#REF!,"AAAAAH9/3Ws=")</f>
        <v>#REF!</v>
      </c>
      <c r="DE5" t="e">
        <f>AND('En cours'!#REF!,"AAAAAH9/3Ww=")</f>
        <v>#REF!</v>
      </c>
      <c r="DF5" t="e">
        <f>AND('En cours'!#REF!,"AAAAAH9/3W0=")</f>
        <v>#REF!</v>
      </c>
      <c r="DG5" t="e">
        <f>AND('En cours'!#REF!,"AAAAAH9/3W4=")</f>
        <v>#REF!</v>
      </c>
      <c r="DH5" t="e">
        <f>AND('En cours'!#REF!,"AAAAAH9/3W8=")</f>
        <v>#REF!</v>
      </c>
      <c r="DI5" t="e">
        <f>AND('En cours'!#REF!,"AAAAAH9/3XA=")</f>
        <v>#REF!</v>
      </c>
      <c r="DJ5" t="e">
        <f>AND('En cours'!#REF!,"AAAAAH9/3XE=")</f>
        <v>#REF!</v>
      </c>
      <c r="DK5" t="e">
        <f>AND('En cours'!#REF!,"AAAAAH9/3XI=")</f>
        <v>#REF!</v>
      </c>
      <c r="DL5" t="e">
        <f>AND('En cours'!#REF!,"AAAAAH9/3XM=")</f>
        <v>#REF!</v>
      </c>
      <c r="DM5" t="e">
        <f>AND('En cours'!#REF!,"AAAAAH9/3XQ=")</f>
        <v>#REF!</v>
      </c>
      <c r="DN5" t="e">
        <f>AND('En cours'!#REF!,"AAAAAH9/3XU=")</f>
        <v>#REF!</v>
      </c>
      <c r="DO5" t="e">
        <f>AND('En cours'!#REF!,"AAAAAH9/3XY=")</f>
        <v>#REF!</v>
      </c>
      <c r="DP5" t="e">
        <f>AND('En cours'!#REF!,"AAAAAH9/3Xc=")</f>
        <v>#REF!</v>
      </c>
      <c r="DQ5" t="e">
        <f>AND('En cours'!#REF!,"AAAAAH9/3Xg=")</f>
        <v>#REF!</v>
      </c>
      <c r="DR5" t="e">
        <f>AND('En cours'!#REF!,"AAAAAH9/3Xk=")</f>
        <v>#REF!</v>
      </c>
      <c r="DS5" t="e">
        <f>AND('En cours'!#REF!,"AAAAAH9/3Xo=")</f>
        <v>#REF!</v>
      </c>
      <c r="DT5" t="e">
        <f>AND('En cours'!#REF!,"AAAAAH9/3Xs=")</f>
        <v>#REF!</v>
      </c>
      <c r="DU5" t="e">
        <f>AND('En cours'!#REF!,"AAAAAH9/3Xw=")</f>
        <v>#REF!</v>
      </c>
      <c r="DV5" t="e">
        <f>AND('En cours'!#REF!,"AAAAAH9/3X0=")</f>
        <v>#REF!</v>
      </c>
      <c r="DW5" t="e">
        <f>AND('En cours'!#REF!,"AAAAAH9/3X4=")</f>
        <v>#REF!</v>
      </c>
      <c r="DX5" t="e">
        <f>AND('En cours'!#REF!,"AAAAAH9/3X8=")</f>
        <v>#REF!</v>
      </c>
      <c r="DY5" t="e">
        <f>IF('En cours'!#REF!,"AAAAAH9/3YA=",0)</f>
        <v>#REF!</v>
      </c>
      <c r="DZ5" t="e">
        <f>AND('En cours'!#REF!,"AAAAAH9/3YE=")</f>
        <v>#REF!</v>
      </c>
      <c r="EA5" t="e">
        <f>AND('En cours'!#REF!,"AAAAAH9/3YI=")</f>
        <v>#REF!</v>
      </c>
      <c r="EB5" t="e">
        <f>AND('En cours'!#REF!,"AAAAAH9/3YM=")</f>
        <v>#REF!</v>
      </c>
      <c r="EC5" t="e">
        <f>AND('En cours'!#REF!,"AAAAAH9/3YQ=")</f>
        <v>#REF!</v>
      </c>
      <c r="ED5" t="e">
        <f>AND('En cours'!#REF!,"AAAAAH9/3YU=")</f>
        <v>#REF!</v>
      </c>
      <c r="EE5" t="e">
        <f>AND('En cours'!#REF!,"AAAAAH9/3YY=")</f>
        <v>#REF!</v>
      </c>
      <c r="EF5" t="e">
        <f>AND('En cours'!#REF!,"AAAAAH9/3Yc=")</f>
        <v>#REF!</v>
      </c>
      <c r="EG5" t="e">
        <f>AND('En cours'!#REF!,"AAAAAH9/3Yg=")</f>
        <v>#REF!</v>
      </c>
      <c r="EH5" t="e">
        <f>AND('En cours'!#REF!,"AAAAAH9/3Yk=")</f>
        <v>#REF!</v>
      </c>
      <c r="EI5" t="e">
        <f>AND('En cours'!#REF!,"AAAAAH9/3Yo=")</f>
        <v>#REF!</v>
      </c>
      <c r="EJ5" t="e">
        <f>AND('En cours'!#REF!,"AAAAAH9/3Ys=")</f>
        <v>#REF!</v>
      </c>
      <c r="EK5" t="e">
        <f>AND('En cours'!#REF!,"AAAAAH9/3Yw=")</f>
        <v>#REF!</v>
      </c>
      <c r="EL5" t="e">
        <f>AND('En cours'!#REF!,"AAAAAH9/3Y0=")</f>
        <v>#REF!</v>
      </c>
      <c r="EM5" t="e">
        <f>AND('En cours'!#REF!,"AAAAAH9/3Y4=")</f>
        <v>#REF!</v>
      </c>
      <c r="EN5" t="e">
        <f>AND('En cours'!#REF!,"AAAAAH9/3Y8=")</f>
        <v>#REF!</v>
      </c>
      <c r="EO5" t="e">
        <f>AND('En cours'!#REF!,"AAAAAH9/3ZA=")</f>
        <v>#REF!</v>
      </c>
      <c r="EP5" t="e">
        <f>AND('En cours'!#REF!,"AAAAAH9/3ZE=")</f>
        <v>#REF!</v>
      </c>
      <c r="EQ5" t="e">
        <f>AND('En cours'!#REF!,"AAAAAH9/3ZI=")</f>
        <v>#REF!</v>
      </c>
      <c r="ER5" t="e">
        <f>AND('En cours'!#REF!,"AAAAAH9/3ZM=")</f>
        <v>#REF!</v>
      </c>
      <c r="ES5" t="e">
        <f>AND('En cours'!#REF!,"AAAAAH9/3ZQ=")</f>
        <v>#REF!</v>
      </c>
      <c r="ET5" t="e">
        <f>AND('En cours'!#REF!,"AAAAAH9/3ZU=")</f>
        <v>#REF!</v>
      </c>
      <c r="EU5" t="e">
        <f>AND('En cours'!#REF!,"AAAAAH9/3ZY=")</f>
        <v>#REF!</v>
      </c>
      <c r="EV5" t="e">
        <f>AND('En cours'!#REF!,"AAAAAH9/3Zc=")</f>
        <v>#REF!</v>
      </c>
      <c r="EW5" t="e">
        <f>AND('En cours'!#REF!,"AAAAAH9/3Zg=")</f>
        <v>#REF!</v>
      </c>
      <c r="EX5" t="e">
        <f>AND('En cours'!#REF!,"AAAAAH9/3Zk=")</f>
        <v>#REF!</v>
      </c>
      <c r="EY5" t="e">
        <f>IF('En cours'!#REF!,"AAAAAH9/3Zo=",0)</f>
        <v>#REF!</v>
      </c>
      <c r="EZ5" t="e">
        <f>AND('En cours'!#REF!,"AAAAAH9/3Zs=")</f>
        <v>#REF!</v>
      </c>
      <c r="FA5" t="e">
        <f>AND('En cours'!#REF!,"AAAAAH9/3Zw=")</f>
        <v>#REF!</v>
      </c>
      <c r="FB5" t="e">
        <f>AND('En cours'!#REF!,"AAAAAH9/3Z0=")</f>
        <v>#REF!</v>
      </c>
      <c r="FC5" t="e">
        <f>AND('En cours'!#REF!,"AAAAAH9/3Z4=")</f>
        <v>#REF!</v>
      </c>
      <c r="FD5" t="e">
        <f>AND('En cours'!#REF!,"AAAAAH9/3Z8=")</f>
        <v>#REF!</v>
      </c>
      <c r="FE5" t="e">
        <f>AND('En cours'!#REF!,"AAAAAH9/3aA=")</f>
        <v>#REF!</v>
      </c>
      <c r="FF5" t="e">
        <f>AND('En cours'!#REF!,"AAAAAH9/3aE=")</f>
        <v>#REF!</v>
      </c>
      <c r="FG5" t="e">
        <f>AND('En cours'!#REF!,"AAAAAH9/3aI=")</f>
        <v>#REF!</v>
      </c>
      <c r="FH5" t="e">
        <f>AND('En cours'!#REF!,"AAAAAH9/3aM=")</f>
        <v>#REF!</v>
      </c>
      <c r="FI5" t="e">
        <f>AND('En cours'!#REF!,"AAAAAH9/3aQ=")</f>
        <v>#REF!</v>
      </c>
      <c r="FJ5" t="e">
        <f>AND('En cours'!#REF!,"AAAAAH9/3aU=")</f>
        <v>#REF!</v>
      </c>
      <c r="FK5" t="e">
        <f>AND('En cours'!#REF!,"AAAAAH9/3aY=")</f>
        <v>#REF!</v>
      </c>
      <c r="FL5" t="e">
        <f>AND('En cours'!#REF!,"AAAAAH9/3ac=")</f>
        <v>#REF!</v>
      </c>
      <c r="FM5" t="e">
        <f>AND('En cours'!#REF!,"AAAAAH9/3ag=")</f>
        <v>#REF!</v>
      </c>
      <c r="FN5" t="e">
        <f>AND('En cours'!#REF!,"AAAAAH9/3ak=")</f>
        <v>#REF!</v>
      </c>
      <c r="FO5" t="e">
        <f>AND('En cours'!#REF!,"AAAAAH9/3ao=")</f>
        <v>#REF!</v>
      </c>
      <c r="FP5" t="e">
        <f>AND('En cours'!#REF!,"AAAAAH9/3as=")</f>
        <v>#REF!</v>
      </c>
      <c r="FQ5" t="e">
        <f>AND('En cours'!#REF!,"AAAAAH9/3aw=")</f>
        <v>#REF!</v>
      </c>
      <c r="FR5" t="e">
        <f>AND('En cours'!#REF!,"AAAAAH9/3a0=")</f>
        <v>#REF!</v>
      </c>
      <c r="FS5" t="e">
        <f>AND('En cours'!#REF!,"AAAAAH9/3a4=")</f>
        <v>#REF!</v>
      </c>
      <c r="FT5" t="e">
        <f>AND('En cours'!#REF!,"AAAAAH9/3a8=")</f>
        <v>#REF!</v>
      </c>
      <c r="FU5" t="e">
        <f>AND('En cours'!#REF!,"AAAAAH9/3bA=")</f>
        <v>#REF!</v>
      </c>
      <c r="FV5" t="e">
        <f>AND('En cours'!#REF!,"AAAAAH9/3bE=")</f>
        <v>#REF!</v>
      </c>
      <c r="FW5" t="e">
        <f>AND('En cours'!#REF!,"AAAAAH9/3bI=")</f>
        <v>#REF!</v>
      </c>
      <c r="FX5" t="e">
        <f>AND('En cours'!#REF!,"AAAAAH9/3bM=")</f>
        <v>#REF!</v>
      </c>
      <c r="FY5" t="e">
        <f>IF('En cours'!#REF!,"AAAAAH9/3bQ=",0)</f>
        <v>#REF!</v>
      </c>
      <c r="FZ5" t="e">
        <f>AND('En cours'!#REF!,"AAAAAH9/3bU=")</f>
        <v>#REF!</v>
      </c>
      <c r="GA5" t="e">
        <f>AND('En cours'!#REF!,"AAAAAH9/3bY=")</f>
        <v>#REF!</v>
      </c>
      <c r="GB5" t="e">
        <f>AND('En cours'!#REF!,"AAAAAH9/3bc=")</f>
        <v>#REF!</v>
      </c>
      <c r="GC5" t="e">
        <f>AND('En cours'!#REF!,"AAAAAH9/3bg=")</f>
        <v>#REF!</v>
      </c>
      <c r="GD5" t="e">
        <f>AND('En cours'!#REF!,"AAAAAH9/3bk=")</f>
        <v>#REF!</v>
      </c>
      <c r="GE5" t="e">
        <f>AND('En cours'!#REF!,"AAAAAH9/3bo=")</f>
        <v>#REF!</v>
      </c>
      <c r="GF5" t="e">
        <f>AND('En cours'!#REF!,"AAAAAH9/3bs=")</f>
        <v>#REF!</v>
      </c>
      <c r="GG5" t="e">
        <f>AND('En cours'!#REF!,"AAAAAH9/3bw=")</f>
        <v>#REF!</v>
      </c>
      <c r="GH5" t="e">
        <f>AND('En cours'!#REF!,"AAAAAH9/3b0=")</f>
        <v>#REF!</v>
      </c>
      <c r="GI5" t="e">
        <f>AND('En cours'!#REF!,"AAAAAH9/3b4=")</f>
        <v>#REF!</v>
      </c>
      <c r="GJ5" t="e">
        <f>AND('En cours'!#REF!,"AAAAAH9/3b8=")</f>
        <v>#REF!</v>
      </c>
      <c r="GK5" t="e">
        <f>AND('En cours'!#REF!,"AAAAAH9/3cA=")</f>
        <v>#REF!</v>
      </c>
      <c r="GL5" t="e">
        <f>AND('En cours'!#REF!,"AAAAAH9/3cE=")</f>
        <v>#REF!</v>
      </c>
      <c r="GM5" t="e">
        <f>AND('En cours'!#REF!,"AAAAAH9/3cI=")</f>
        <v>#REF!</v>
      </c>
      <c r="GN5" t="e">
        <f>AND('En cours'!#REF!,"AAAAAH9/3cM=")</f>
        <v>#REF!</v>
      </c>
      <c r="GO5" t="e">
        <f>AND('En cours'!#REF!,"AAAAAH9/3cQ=")</f>
        <v>#REF!</v>
      </c>
      <c r="GP5" t="e">
        <f>AND('En cours'!#REF!,"AAAAAH9/3cU=")</f>
        <v>#REF!</v>
      </c>
      <c r="GQ5" t="e">
        <f>AND('En cours'!#REF!,"AAAAAH9/3cY=")</f>
        <v>#REF!</v>
      </c>
      <c r="GR5" t="e">
        <f>AND('En cours'!#REF!,"AAAAAH9/3cc=")</f>
        <v>#REF!</v>
      </c>
      <c r="GS5" t="e">
        <f>AND('En cours'!#REF!,"AAAAAH9/3cg=")</f>
        <v>#REF!</v>
      </c>
      <c r="GT5" t="e">
        <f>AND('En cours'!#REF!,"AAAAAH9/3ck=")</f>
        <v>#REF!</v>
      </c>
      <c r="GU5" t="e">
        <f>AND('En cours'!#REF!,"AAAAAH9/3co=")</f>
        <v>#REF!</v>
      </c>
      <c r="GV5" t="e">
        <f>AND('En cours'!#REF!,"AAAAAH9/3cs=")</f>
        <v>#REF!</v>
      </c>
      <c r="GW5" t="e">
        <f>AND('En cours'!#REF!,"AAAAAH9/3cw=")</f>
        <v>#REF!</v>
      </c>
      <c r="GX5" t="e">
        <f>AND('En cours'!#REF!,"AAAAAH9/3c0=")</f>
        <v>#REF!</v>
      </c>
      <c r="GY5" t="e">
        <f>IF('En cours'!#REF!,"AAAAAH9/3c4=",0)</f>
        <v>#REF!</v>
      </c>
      <c r="GZ5" t="e">
        <f>AND('En cours'!#REF!,"AAAAAH9/3c8=")</f>
        <v>#REF!</v>
      </c>
      <c r="HA5" t="e">
        <f>AND('En cours'!#REF!,"AAAAAH9/3dA=")</f>
        <v>#REF!</v>
      </c>
      <c r="HB5" t="e">
        <f>AND('En cours'!#REF!,"AAAAAH9/3dE=")</f>
        <v>#REF!</v>
      </c>
      <c r="HC5" t="e">
        <f>AND('En cours'!#REF!,"AAAAAH9/3dI=")</f>
        <v>#REF!</v>
      </c>
      <c r="HD5" t="e">
        <f>AND('En cours'!#REF!,"AAAAAH9/3dM=")</f>
        <v>#REF!</v>
      </c>
      <c r="HE5" t="e">
        <f>AND('En cours'!#REF!,"AAAAAH9/3dQ=")</f>
        <v>#REF!</v>
      </c>
      <c r="HF5" t="e">
        <f>AND('En cours'!#REF!,"AAAAAH9/3dU=")</f>
        <v>#REF!</v>
      </c>
      <c r="HG5" t="e">
        <f>AND('En cours'!#REF!,"AAAAAH9/3dY=")</f>
        <v>#REF!</v>
      </c>
      <c r="HH5" t="e">
        <f>AND('En cours'!#REF!,"AAAAAH9/3dc=")</f>
        <v>#REF!</v>
      </c>
      <c r="HI5" t="e">
        <f>AND('En cours'!#REF!,"AAAAAH9/3dg=")</f>
        <v>#REF!</v>
      </c>
      <c r="HJ5" t="e">
        <f>AND('En cours'!#REF!,"AAAAAH9/3dk=")</f>
        <v>#REF!</v>
      </c>
      <c r="HK5" t="e">
        <f>AND('En cours'!#REF!,"AAAAAH9/3do=")</f>
        <v>#REF!</v>
      </c>
      <c r="HL5" t="e">
        <f>AND('En cours'!#REF!,"AAAAAH9/3ds=")</f>
        <v>#REF!</v>
      </c>
      <c r="HM5" t="e">
        <f>AND('En cours'!#REF!,"AAAAAH9/3dw=")</f>
        <v>#REF!</v>
      </c>
      <c r="HN5" t="e">
        <f>AND('En cours'!#REF!,"AAAAAH9/3d0=")</f>
        <v>#REF!</v>
      </c>
      <c r="HO5" t="e">
        <f>AND('En cours'!#REF!,"AAAAAH9/3d4=")</f>
        <v>#REF!</v>
      </c>
      <c r="HP5" t="e">
        <f>AND('En cours'!#REF!,"AAAAAH9/3d8=")</f>
        <v>#REF!</v>
      </c>
      <c r="HQ5" t="e">
        <f>AND('En cours'!#REF!,"AAAAAH9/3eA=")</f>
        <v>#REF!</v>
      </c>
      <c r="HR5" t="e">
        <f>AND('En cours'!#REF!,"AAAAAH9/3eE=")</f>
        <v>#REF!</v>
      </c>
      <c r="HS5">
        <f>IF('En cours'!A:A,"AAAAAH9/3eI=",0)</f>
        <v>0</v>
      </c>
      <c r="HT5">
        <f>IF('En cours'!B:B,"AAAAAH9/3eM=",0)</f>
        <v>0</v>
      </c>
      <c r="HU5">
        <f>IF('En cours'!C:C,"AAAAAH9/3eQ=",0)</f>
        <v>0</v>
      </c>
      <c r="HV5">
        <f>IF('En cours'!D:D,"AAAAAH9/3eU=",0)</f>
        <v>0</v>
      </c>
      <c r="HW5">
        <f>IF('En cours'!E:E,"AAAAAH9/3eY=",0)</f>
        <v>0</v>
      </c>
      <c r="HX5" t="str">
        <f>IF('En cours'!F:F,"AAAAAH9/3ec=",0)</f>
        <v>AAAAAH9/3ec=</v>
      </c>
      <c r="HY5" t="e">
        <f>IF('En cours'!G:G,"AAAAAH9/3eg=",0)</f>
        <v>#VALUE!</v>
      </c>
      <c r="HZ5">
        <f>IF('En cours'!H:H,"AAAAAH9/3ek=",0)</f>
        <v>0</v>
      </c>
      <c r="IA5" t="str">
        <f>IF('En cours'!I:I,"AAAAAH9/3eo=",0)</f>
        <v>AAAAAH9/3eo=</v>
      </c>
      <c r="IB5">
        <f>IF('En cours'!J:J,"AAAAAH9/3es=",0)</f>
        <v>0</v>
      </c>
      <c r="IC5">
        <f>IF('En cours'!K:K,"AAAAAH9/3ew=",0)</f>
        <v>0</v>
      </c>
      <c r="ID5">
        <f>IF('En cours'!L:L,"AAAAAH9/3e0=",0)</f>
        <v>0</v>
      </c>
      <c r="IE5">
        <f>IF('En cours'!M:M,"AAAAAH9/3e4=",0)</f>
        <v>0</v>
      </c>
      <c r="IF5">
        <f>IF('En cours'!N:N,"AAAAAH9/3e8=",0)</f>
        <v>0</v>
      </c>
      <c r="IG5">
        <f>IF('En cours'!O:O,"AAAAAH9/3fA=",0)</f>
        <v>0</v>
      </c>
      <c r="IH5">
        <f>IF('En cours'!P:P,"AAAAAH9/3fE=",0)</f>
        <v>0</v>
      </c>
      <c r="II5">
        <f>IF('En cours'!Q:Q,"AAAAAH9/3fI=",0)</f>
        <v>0</v>
      </c>
      <c r="IJ5">
        <f>IF('En cours'!R:R,"AAAAAH9/3fM=",0)</f>
        <v>0</v>
      </c>
      <c r="IK5">
        <f>IF('En cours'!S:S,"AAAAAH9/3fQ=",0)</f>
        <v>0</v>
      </c>
      <c r="IL5">
        <f>IF('En cours'!T:T,"AAAAAH9/3fU=",0)</f>
        <v>0</v>
      </c>
      <c r="IM5">
        <f>IF('En cours'!U:U,"AAAAAH9/3fY=",0)</f>
        <v>0</v>
      </c>
      <c r="IN5">
        <f>IF('En cours'!V:V,"AAAAAH9/3fc=",0)</f>
        <v>0</v>
      </c>
      <c r="IO5" t="str">
        <f>IF('En cours'!W:W,"AAAAAH9/3fg=",0)</f>
        <v>AAAAAH9/3fg=</v>
      </c>
      <c r="IP5">
        <f>IF('En cours'!X:X,"AAAAAH9/3fk=",0)</f>
        <v>0</v>
      </c>
      <c r="IQ5">
        <f>IF('En cours'!Y:Y,"AAAAAH9/3fo=",0)</f>
        <v>0</v>
      </c>
      <c r="IR5">
        <f>IF(CX_jour!1:1,"AAAAAH9/3fs=",0)</f>
        <v>0</v>
      </c>
      <c r="IS5" t="e">
        <f>AND(CX_jour!A1,"AAAAAH9/3fw=")</f>
        <v>#VALUE!</v>
      </c>
      <c r="IT5" t="e">
        <f>AND(CX_jour!B1,"AAAAAH9/3f0=")</f>
        <v>#VALUE!</v>
      </c>
      <c r="IU5" t="e">
        <f>AND(CX_jour!C1,"AAAAAH9/3f4=")</f>
        <v>#VALUE!</v>
      </c>
      <c r="IV5" t="e">
        <f>AND(CX_jour!D1,"AAAAAH9/3f8=")</f>
        <v>#VALUE!</v>
      </c>
    </row>
    <row r="6" spans="1:256" ht="12.75">
      <c r="A6" t="e">
        <f>AND(CX_jour!E1,"AAAAAH/T+gA=")</f>
        <v>#VALUE!</v>
      </c>
      <c r="B6" t="e">
        <f>AND(CX_jour!F1,"AAAAAH/T+gE=")</f>
        <v>#VALUE!</v>
      </c>
      <c r="C6" t="e">
        <f>AND(CX_jour!G1,"AAAAAH/T+gI=")</f>
        <v>#VALUE!</v>
      </c>
      <c r="D6" t="e">
        <f>AND(CX_jour!H1,"AAAAAH/T+gM=")</f>
        <v>#VALUE!</v>
      </c>
      <c r="E6" t="e">
        <f>AND(CX_jour!I1,"AAAAAH/T+gQ=")</f>
        <v>#VALUE!</v>
      </c>
      <c r="F6" t="e">
        <f>AND(CX_jour!J1,"AAAAAH/T+gU=")</f>
        <v>#VALUE!</v>
      </c>
      <c r="G6" t="e">
        <f>AND(CX_jour!K1,"AAAAAH/T+gY=")</f>
        <v>#VALUE!</v>
      </c>
      <c r="H6" t="e">
        <f>AND(CX_jour!L1,"AAAAAH/T+gc=")</f>
        <v>#VALUE!</v>
      </c>
      <c r="I6" t="e">
        <f>AND(CX_jour!M1,"AAAAAH/T+gg=")</f>
        <v>#VALUE!</v>
      </c>
      <c r="J6" t="e">
        <f>AND(CX_jour!N1,"AAAAAH/T+gk=")</f>
        <v>#VALUE!</v>
      </c>
      <c r="K6" t="e">
        <f>AND(CX_jour!O1,"AAAAAH/T+go=")</f>
        <v>#VALUE!</v>
      </c>
      <c r="L6" t="e">
        <f>AND(CX_jour!P1,"AAAAAH/T+gs=")</f>
        <v>#VALUE!</v>
      </c>
      <c r="M6" t="e">
        <f>AND(CX_jour!Q1,"AAAAAH/T+gw=")</f>
        <v>#VALUE!</v>
      </c>
      <c r="N6" t="e">
        <f>AND(CX_jour!R1,"AAAAAH/T+g0=")</f>
        <v>#VALUE!</v>
      </c>
      <c r="O6" t="e">
        <f>AND(CX_jour!S1,"AAAAAH/T+g4=")</f>
        <v>#VALUE!</v>
      </c>
      <c r="P6" t="e">
        <f>AND(CX_jour!T1,"AAAAAH/T+g8=")</f>
        <v>#VALUE!</v>
      </c>
      <c r="Q6" t="e">
        <f>AND(CX_jour!U1,"AAAAAH/T+hA=")</f>
        <v>#VALUE!</v>
      </c>
      <c r="R6">
        <f>IF(CX_jour!2:2,"AAAAAH/T+hE=",0)</f>
        <v>0</v>
      </c>
      <c r="S6" t="e">
        <f>AND(CX_jour!A2,"AAAAAH/T+hI=")</f>
        <v>#VALUE!</v>
      </c>
      <c r="T6" t="e">
        <f>AND(CX_jour!B2,"AAAAAH/T+hM=")</f>
        <v>#VALUE!</v>
      </c>
      <c r="U6" t="e">
        <f>AND(CX_jour!C2,"AAAAAH/T+hQ=")</f>
        <v>#VALUE!</v>
      </c>
      <c r="V6" t="e">
        <f>AND(CX_jour!D2,"AAAAAH/T+hU=")</f>
        <v>#VALUE!</v>
      </c>
      <c r="W6" t="e">
        <f>AND(CX_jour!E2,"AAAAAH/T+hY=")</f>
        <v>#VALUE!</v>
      </c>
      <c r="X6" t="e">
        <f>AND(CX_jour!F2,"AAAAAH/T+hc=")</f>
        <v>#VALUE!</v>
      </c>
      <c r="Y6" t="e">
        <f>AND(CX_jour!G2,"AAAAAH/T+hg=")</f>
        <v>#VALUE!</v>
      </c>
      <c r="Z6" t="e">
        <f>AND(CX_jour!H2,"AAAAAH/T+hk=")</f>
        <v>#VALUE!</v>
      </c>
      <c r="AA6" t="e">
        <f>AND(CX_jour!I2,"AAAAAH/T+ho=")</f>
        <v>#VALUE!</v>
      </c>
      <c r="AB6" t="e">
        <f>AND(CX_jour!J2,"AAAAAH/T+hs=")</f>
        <v>#VALUE!</v>
      </c>
      <c r="AC6" t="e">
        <f>AND(CX_jour!K2,"AAAAAH/T+hw=")</f>
        <v>#VALUE!</v>
      </c>
      <c r="AD6" t="e">
        <f>AND(CX_jour!L2,"AAAAAH/T+h0=")</f>
        <v>#VALUE!</v>
      </c>
      <c r="AE6" t="e">
        <f>AND(CX_jour!M2,"AAAAAH/T+h4=")</f>
        <v>#VALUE!</v>
      </c>
      <c r="AF6" t="e">
        <f>AND(CX_jour!N2,"AAAAAH/T+h8=")</f>
        <v>#VALUE!</v>
      </c>
      <c r="AG6" t="e">
        <f>AND(CX_jour!O2,"AAAAAH/T+iA=")</f>
        <v>#VALUE!</v>
      </c>
      <c r="AH6" t="e">
        <f>AND(CX_jour!P2,"AAAAAH/T+iE=")</f>
        <v>#VALUE!</v>
      </c>
      <c r="AI6" t="e">
        <f>AND(CX_jour!Q2,"AAAAAH/T+iI=")</f>
        <v>#VALUE!</v>
      </c>
      <c r="AJ6" t="e">
        <f>AND(CX_jour!R2,"AAAAAH/T+iM=")</f>
        <v>#VALUE!</v>
      </c>
      <c r="AK6" t="e">
        <f>AND(CX_jour!S2,"AAAAAH/T+iQ=")</f>
        <v>#VALUE!</v>
      </c>
      <c r="AL6" t="e">
        <f>AND(CX_jour!T2,"AAAAAH/T+iU=")</f>
        <v>#VALUE!</v>
      </c>
      <c r="AM6" t="e">
        <f>AND(CX_jour!U2,"AAAAAH/T+iY=")</f>
        <v>#VALUE!</v>
      </c>
      <c r="AN6">
        <f>IF(CX_jour!3:3,"AAAAAH/T+ic=",0)</f>
        <v>0</v>
      </c>
      <c r="AO6" t="e">
        <f>AND(CX_jour!A3,"AAAAAH/T+ig=")</f>
        <v>#VALUE!</v>
      </c>
      <c r="AP6" t="e">
        <f>AND(CX_jour!B3,"AAAAAH/T+ik=")</f>
        <v>#VALUE!</v>
      </c>
      <c r="AQ6" t="e">
        <f>AND(CX_jour!C3,"AAAAAH/T+io=")</f>
        <v>#VALUE!</v>
      </c>
      <c r="AR6" t="e">
        <f>AND(CX_jour!D3,"AAAAAH/T+is=")</f>
        <v>#VALUE!</v>
      </c>
      <c r="AS6" t="e">
        <f>AND(CX_jour!E3,"AAAAAH/T+iw=")</f>
        <v>#VALUE!</v>
      </c>
      <c r="AT6" t="e">
        <f>AND(CX_jour!F3,"AAAAAH/T+i0=")</f>
        <v>#VALUE!</v>
      </c>
      <c r="AU6" t="e">
        <f>AND(CX_jour!G3,"AAAAAH/T+i4=")</f>
        <v>#VALUE!</v>
      </c>
      <c r="AV6" t="e">
        <f>AND(CX_jour!H3,"AAAAAH/T+i8=")</f>
        <v>#VALUE!</v>
      </c>
      <c r="AW6" t="e">
        <f>AND(CX_jour!I3,"AAAAAH/T+jA=")</f>
        <v>#VALUE!</v>
      </c>
      <c r="AX6" t="e">
        <f>AND(CX_jour!J3,"AAAAAH/T+jE=")</f>
        <v>#VALUE!</v>
      </c>
      <c r="AY6" t="e">
        <f>AND(CX_jour!K3,"AAAAAH/T+jI=")</f>
        <v>#VALUE!</v>
      </c>
      <c r="AZ6" t="e">
        <f>AND(CX_jour!L3,"AAAAAH/T+jM=")</f>
        <v>#VALUE!</v>
      </c>
      <c r="BA6" t="e">
        <f>AND(CX_jour!M3,"AAAAAH/T+jQ=")</f>
        <v>#VALUE!</v>
      </c>
      <c r="BB6" t="e">
        <f>AND(CX_jour!N3,"AAAAAH/T+jU=")</f>
        <v>#VALUE!</v>
      </c>
      <c r="BC6" t="e">
        <f>AND(CX_jour!O3,"AAAAAH/T+jY=")</f>
        <v>#VALUE!</v>
      </c>
      <c r="BD6" t="e">
        <f>AND(CX_jour!P3,"AAAAAH/T+jc=")</f>
        <v>#VALUE!</v>
      </c>
      <c r="BE6" t="e">
        <f>AND(CX_jour!Q3,"AAAAAH/T+jg=")</f>
        <v>#VALUE!</v>
      </c>
      <c r="BF6" t="e">
        <f>AND(CX_jour!R3,"AAAAAH/T+jk=")</f>
        <v>#VALUE!</v>
      </c>
      <c r="BG6" t="e">
        <f>AND(CX_jour!S3,"AAAAAH/T+jo=")</f>
        <v>#VALUE!</v>
      </c>
      <c r="BH6" t="e">
        <f>AND(CX_jour!T3,"AAAAAH/T+js=")</f>
        <v>#VALUE!</v>
      </c>
      <c r="BI6" t="e">
        <f>AND(CX_jour!U3,"AAAAAH/T+jw=")</f>
        <v>#VALUE!</v>
      </c>
      <c r="BJ6">
        <f>IF(CX_jour!4:4,"AAAAAH/T+j0=",0)</f>
        <v>0</v>
      </c>
      <c r="BK6" t="e">
        <f>AND(CX_jour!A4,"AAAAAH/T+j4=")</f>
        <v>#VALUE!</v>
      </c>
      <c r="BL6" t="e">
        <f>AND(CX_jour!B4,"AAAAAH/T+j8=")</f>
        <v>#VALUE!</v>
      </c>
      <c r="BM6" t="e">
        <f>AND(CX_jour!C4,"AAAAAH/T+kA=")</f>
        <v>#VALUE!</v>
      </c>
      <c r="BN6" t="e">
        <f>AND(CX_jour!D4,"AAAAAH/T+kE=")</f>
        <v>#VALUE!</v>
      </c>
      <c r="BO6" t="e">
        <f>AND(CX_jour!E4,"AAAAAH/T+kI=")</f>
        <v>#VALUE!</v>
      </c>
      <c r="BP6" t="e">
        <f>AND(CX_jour!F4,"AAAAAH/T+kM=")</f>
        <v>#VALUE!</v>
      </c>
      <c r="BQ6" t="e">
        <f>AND(CX_jour!G4,"AAAAAH/T+kQ=")</f>
        <v>#VALUE!</v>
      </c>
      <c r="BR6" t="e">
        <f>AND(CX_jour!H4,"AAAAAH/T+kU=")</f>
        <v>#VALUE!</v>
      </c>
      <c r="BS6" t="e">
        <f>AND(CX_jour!I4,"AAAAAH/T+kY=")</f>
        <v>#VALUE!</v>
      </c>
      <c r="BT6" t="e">
        <f>AND(CX_jour!J4,"AAAAAH/T+kc=")</f>
        <v>#VALUE!</v>
      </c>
      <c r="BU6" t="e">
        <f>AND(CX_jour!K4,"AAAAAH/T+kg=")</f>
        <v>#VALUE!</v>
      </c>
      <c r="BV6" t="e">
        <f>AND(CX_jour!L4,"AAAAAH/T+kk=")</f>
        <v>#VALUE!</v>
      </c>
      <c r="BW6" t="e">
        <f>AND(CX_jour!M4,"AAAAAH/T+ko=")</f>
        <v>#VALUE!</v>
      </c>
      <c r="BX6" t="e">
        <f>AND(CX_jour!N4,"AAAAAH/T+ks=")</f>
        <v>#VALUE!</v>
      </c>
      <c r="BY6" t="e">
        <f>AND(CX_jour!O4,"AAAAAH/T+kw=")</f>
        <v>#VALUE!</v>
      </c>
      <c r="BZ6" t="e">
        <f>AND(CX_jour!P4,"AAAAAH/T+k0=")</f>
        <v>#VALUE!</v>
      </c>
      <c r="CA6" t="e">
        <f>AND(CX_jour!Q4,"AAAAAH/T+k4=")</f>
        <v>#VALUE!</v>
      </c>
      <c r="CB6" t="e">
        <f>AND(CX_jour!R4,"AAAAAH/T+k8=")</f>
        <v>#VALUE!</v>
      </c>
      <c r="CC6" t="e">
        <f>AND(CX_jour!S4,"AAAAAH/T+lA=")</f>
        <v>#VALUE!</v>
      </c>
      <c r="CD6" t="e">
        <f>AND(CX_jour!T4,"AAAAAH/T+lE=")</f>
        <v>#VALUE!</v>
      </c>
      <c r="CE6" t="e">
        <f>AND(CX_jour!U4,"AAAAAH/T+lI=")</f>
        <v>#VALUE!</v>
      </c>
      <c r="CF6">
        <f>IF(CX_jour!5:5,"AAAAAH/T+lM=",0)</f>
        <v>0</v>
      </c>
      <c r="CG6" t="e">
        <f>AND(CX_jour!A5,"AAAAAH/T+lQ=")</f>
        <v>#VALUE!</v>
      </c>
      <c r="CH6" t="e">
        <f>AND(CX_jour!B5,"AAAAAH/T+lU=")</f>
        <v>#VALUE!</v>
      </c>
      <c r="CI6" t="e">
        <f>AND(CX_jour!C5,"AAAAAH/T+lY=")</f>
        <v>#VALUE!</v>
      </c>
      <c r="CJ6" t="e">
        <f>AND(CX_jour!D5,"AAAAAH/T+lc=")</f>
        <v>#VALUE!</v>
      </c>
      <c r="CK6" t="e">
        <f>AND(CX_jour!E5,"AAAAAH/T+lg=")</f>
        <v>#VALUE!</v>
      </c>
      <c r="CL6" t="e">
        <f>AND(CX_jour!F5,"AAAAAH/T+lk=")</f>
        <v>#VALUE!</v>
      </c>
      <c r="CM6" t="e">
        <f>AND(CX_jour!G5,"AAAAAH/T+lo=")</f>
        <v>#VALUE!</v>
      </c>
      <c r="CN6" t="e">
        <f>AND(CX_jour!H5,"AAAAAH/T+ls=")</f>
        <v>#VALUE!</v>
      </c>
      <c r="CO6" t="e">
        <f>AND(CX_jour!I5,"AAAAAH/T+lw=")</f>
        <v>#VALUE!</v>
      </c>
      <c r="CP6" t="e">
        <f>AND(CX_jour!J5,"AAAAAH/T+l0=")</f>
        <v>#VALUE!</v>
      </c>
      <c r="CQ6" t="e">
        <f>AND(CX_jour!K5,"AAAAAH/T+l4=")</f>
        <v>#VALUE!</v>
      </c>
      <c r="CR6" t="e">
        <f>AND(CX_jour!L5,"AAAAAH/T+l8=")</f>
        <v>#VALUE!</v>
      </c>
      <c r="CS6" t="e">
        <f>AND(CX_jour!M5,"AAAAAH/T+mA=")</f>
        <v>#VALUE!</v>
      </c>
      <c r="CT6" t="e">
        <f>AND(CX_jour!N5,"AAAAAH/T+mE=")</f>
        <v>#VALUE!</v>
      </c>
      <c r="CU6" t="e">
        <f>AND(CX_jour!O5,"AAAAAH/T+mI=")</f>
        <v>#VALUE!</v>
      </c>
      <c r="CV6" t="e">
        <f>AND(CX_jour!P5,"AAAAAH/T+mM=")</f>
        <v>#VALUE!</v>
      </c>
      <c r="CW6" t="e">
        <f>AND(CX_jour!Q5,"AAAAAH/T+mQ=")</f>
        <v>#VALUE!</v>
      </c>
      <c r="CX6" t="e">
        <f>AND(CX_jour!R5,"AAAAAH/T+mU=")</f>
        <v>#VALUE!</v>
      </c>
      <c r="CY6" t="e">
        <f>AND(CX_jour!S5,"AAAAAH/T+mY=")</f>
        <v>#VALUE!</v>
      </c>
      <c r="CZ6" t="e">
        <f>AND(CX_jour!T5,"AAAAAH/T+mc=")</f>
        <v>#VALUE!</v>
      </c>
      <c r="DA6" t="e">
        <f>AND(CX_jour!U5,"AAAAAH/T+mg=")</f>
        <v>#VALUE!</v>
      </c>
      <c r="DB6">
        <f>IF(CX_jour!6:6,"AAAAAH/T+mk=",0)</f>
        <v>0</v>
      </c>
      <c r="DC6" t="e">
        <f>AND(CX_jour!A6,"AAAAAH/T+mo=")</f>
        <v>#VALUE!</v>
      </c>
      <c r="DD6" t="e">
        <f>AND(CX_jour!B6,"AAAAAH/T+ms=")</f>
        <v>#VALUE!</v>
      </c>
      <c r="DE6" t="e">
        <f>AND(CX_jour!C6,"AAAAAH/T+mw=")</f>
        <v>#VALUE!</v>
      </c>
      <c r="DF6" t="e">
        <f>AND(CX_jour!D6,"AAAAAH/T+m0=")</f>
        <v>#VALUE!</v>
      </c>
      <c r="DG6" t="e">
        <f>AND(CX_jour!E6,"AAAAAH/T+m4=")</f>
        <v>#VALUE!</v>
      </c>
      <c r="DH6" t="e">
        <f>AND(CX_jour!F6,"AAAAAH/T+m8=")</f>
        <v>#VALUE!</v>
      </c>
      <c r="DI6" t="e">
        <f>AND(CX_jour!G6,"AAAAAH/T+nA=")</f>
        <v>#VALUE!</v>
      </c>
      <c r="DJ6" t="e">
        <f>AND(CX_jour!H6,"AAAAAH/T+nE=")</f>
        <v>#VALUE!</v>
      </c>
      <c r="DK6" t="e">
        <f>AND(CX_jour!I6,"AAAAAH/T+nI=")</f>
        <v>#VALUE!</v>
      </c>
      <c r="DL6" t="e">
        <f>AND(CX_jour!J6,"AAAAAH/T+nM=")</f>
        <v>#VALUE!</v>
      </c>
      <c r="DM6" t="e">
        <f>AND(CX_jour!K6,"AAAAAH/T+nQ=")</f>
        <v>#VALUE!</v>
      </c>
      <c r="DN6" t="e">
        <f>AND(CX_jour!L6,"AAAAAH/T+nU=")</f>
        <v>#VALUE!</v>
      </c>
      <c r="DO6" t="e">
        <f>AND(CX_jour!M6,"AAAAAH/T+nY=")</f>
        <v>#VALUE!</v>
      </c>
      <c r="DP6" t="e">
        <f>AND(CX_jour!N6,"AAAAAH/T+nc=")</f>
        <v>#VALUE!</v>
      </c>
      <c r="DQ6" t="e">
        <f>AND(CX_jour!O6,"AAAAAH/T+ng=")</f>
        <v>#VALUE!</v>
      </c>
      <c r="DR6" t="e">
        <f>AND(CX_jour!P6,"AAAAAH/T+nk=")</f>
        <v>#VALUE!</v>
      </c>
      <c r="DS6" t="e">
        <f>AND(CX_jour!Q6,"AAAAAH/T+no=")</f>
        <v>#VALUE!</v>
      </c>
      <c r="DT6" t="e">
        <f>AND(CX_jour!R6,"AAAAAH/T+ns=")</f>
        <v>#VALUE!</v>
      </c>
      <c r="DU6" t="e">
        <f>AND(CX_jour!S6,"AAAAAH/T+nw=")</f>
        <v>#VALUE!</v>
      </c>
      <c r="DV6" t="e">
        <f>AND(CX_jour!T6,"AAAAAH/T+n0=")</f>
        <v>#VALUE!</v>
      </c>
      <c r="DW6" t="e">
        <f>AND(CX_jour!U6,"AAAAAH/T+n4=")</f>
        <v>#VALUE!</v>
      </c>
      <c r="DX6">
        <f>IF(CX_jour!7:7,"AAAAAH/T+n8=",0)</f>
        <v>0</v>
      </c>
      <c r="DY6" t="e">
        <f>AND(CX_jour!A7,"AAAAAH/T+oA=")</f>
        <v>#VALUE!</v>
      </c>
      <c r="DZ6" t="e">
        <f>AND(CX_jour!B7,"AAAAAH/T+oE=")</f>
        <v>#VALUE!</v>
      </c>
      <c r="EA6" t="e">
        <f>AND(CX_jour!C7,"AAAAAH/T+oI=")</f>
        <v>#VALUE!</v>
      </c>
      <c r="EB6" t="e">
        <f>AND(CX_jour!D7,"AAAAAH/T+oM=")</f>
        <v>#VALUE!</v>
      </c>
      <c r="EC6" t="e">
        <f>AND(CX_jour!E7,"AAAAAH/T+oQ=")</f>
        <v>#VALUE!</v>
      </c>
      <c r="ED6" t="e">
        <f>AND(CX_jour!F7,"AAAAAH/T+oU=")</f>
        <v>#VALUE!</v>
      </c>
      <c r="EE6" t="e">
        <f>AND(CX_jour!G7,"AAAAAH/T+oY=")</f>
        <v>#VALUE!</v>
      </c>
      <c r="EF6" t="e">
        <f>AND(CX_jour!H7,"AAAAAH/T+oc=")</f>
        <v>#VALUE!</v>
      </c>
      <c r="EG6" t="e">
        <f>AND(CX_jour!I7,"AAAAAH/T+og=")</f>
        <v>#VALUE!</v>
      </c>
      <c r="EH6" t="e">
        <f>AND(CX_jour!J7,"AAAAAH/T+ok=")</f>
        <v>#VALUE!</v>
      </c>
      <c r="EI6" t="e">
        <f>AND(CX_jour!K7,"AAAAAH/T+oo=")</f>
        <v>#VALUE!</v>
      </c>
      <c r="EJ6" t="e">
        <f>AND(CX_jour!L7,"AAAAAH/T+os=")</f>
        <v>#VALUE!</v>
      </c>
      <c r="EK6" t="e">
        <f>AND(CX_jour!M7,"AAAAAH/T+ow=")</f>
        <v>#VALUE!</v>
      </c>
      <c r="EL6" t="e">
        <f>AND(CX_jour!N7,"AAAAAH/T+o0=")</f>
        <v>#VALUE!</v>
      </c>
      <c r="EM6" t="e">
        <f>AND(CX_jour!O7,"AAAAAH/T+o4=")</f>
        <v>#VALUE!</v>
      </c>
      <c r="EN6" t="e">
        <f>AND(CX_jour!P7,"AAAAAH/T+o8=")</f>
        <v>#VALUE!</v>
      </c>
      <c r="EO6" t="e">
        <f>AND(CX_jour!Q7,"AAAAAH/T+pA=")</f>
        <v>#VALUE!</v>
      </c>
      <c r="EP6" t="e">
        <f>AND(CX_jour!R7,"AAAAAH/T+pE=")</f>
        <v>#VALUE!</v>
      </c>
      <c r="EQ6" t="e">
        <f>AND(CX_jour!S7,"AAAAAH/T+pI=")</f>
        <v>#VALUE!</v>
      </c>
      <c r="ER6" t="e">
        <f>AND(CX_jour!T7,"AAAAAH/T+pM=")</f>
        <v>#VALUE!</v>
      </c>
      <c r="ES6" t="e">
        <f>AND(CX_jour!U7,"AAAAAH/T+pQ=")</f>
        <v>#VALUE!</v>
      </c>
      <c r="ET6">
        <f>IF(CX_jour!8:8,"AAAAAH/T+pU=",0)</f>
        <v>0</v>
      </c>
      <c r="EU6" t="e">
        <f>AND(CX_jour!A8,"AAAAAH/T+pY=")</f>
        <v>#VALUE!</v>
      </c>
      <c r="EV6" t="e">
        <f>AND(CX_jour!B8,"AAAAAH/T+pc=")</f>
        <v>#VALUE!</v>
      </c>
      <c r="EW6" t="e">
        <f>AND(CX_jour!C8,"AAAAAH/T+pg=")</f>
        <v>#VALUE!</v>
      </c>
      <c r="EX6" t="e">
        <f>AND(CX_jour!D8,"AAAAAH/T+pk=")</f>
        <v>#VALUE!</v>
      </c>
      <c r="EY6" t="e">
        <f>AND(CX_jour!E8,"AAAAAH/T+po=")</f>
        <v>#VALUE!</v>
      </c>
      <c r="EZ6" t="e">
        <f>AND(CX_jour!F8,"AAAAAH/T+ps=")</f>
        <v>#VALUE!</v>
      </c>
      <c r="FA6" t="e">
        <f>AND(CX_jour!G8,"AAAAAH/T+pw=")</f>
        <v>#VALUE!</v>
      </c>
      <c r="FB6" t="e">
        <f>AND(CX_jour!H8,"AAAAAH/T+p0=")</f>
        <v>#VALUE!</v>
      </c>
      <c r="FC6" t="e">
        <f>AND(CX_jour!I8,"AAAAAH/T+p4=")</f>
        <v>#VALUE!</v>
      </c>
      <c r="FD6" t="e">
        <f>AND(CX_jour!J8,"AAAAAH/T+p8=")</f>
        <v>#VALUE!</v>
      </c>
      <c r="FE6" t="e">
        <f>AND(CX_jour!K8,"AAAAAH/T+qA=")</f>
        <v>#VALUE!</v>
      </c>
      <c r="FF6" t="e">
        <f>AND(CX_jour!L8,"AAAAAH/T+qE=")</f>
        <v>#VALUE!</v>
      </c>
      <c r="FG6" t="e">
        <f>AND(CX_jour!M8,"AAAAAH/T+qI=")</f>
        <v>#VALUE!</v>
      </c>
      <c r="FH6" t="e">
        <f>AND(CX_jour!N8,"AAAAAH/T+qM=")</f>
        <v>#VALUE!</v>
      </c>
      <c r="FI6" t="e">
        <f>AND(CX_jour!O8,"AAAAAH/T+qQ=")</f>
        <v>#VALUE!</v>
      </c>
      <c r="FJ6" t="e">
        <f>AND(CX_jour!P8,"AAAAAH/T+qU=")</f>
        <v>#VALUE!</v>
      </c>
      <c r="FK6" t="e">
        <f>AND(CX_jour!Q8,"AAAAAH/T+qY=")</f>
        <v>#VALUE!</v>
      </c>
      <c r="FL6" t="e">
        <f>AND(CX_jour!R8,"AAAAAH/T+qc=")</f>
        <v>#VALUE!</v>
      </c>
      <c r="FM6" t="e">
        <f>AND(CX_jour!S8,"AAAAAH/T+qg=")</f>
        <v>#VALUE!</v>
      </c>
      <c r="FN6" t="e">
        <f>AND(CX_jour!T8,"AAAAAH/T+qk=")</f>
        <v>#VALUE!</v>
      </c>
      <c r="FO6" t="e">
        <f>AND(CX_jour!U8,"AAAAAH/T+qo=")</f>
        <v>#VALUE!</v>
      </c>
      <c r="FP6">
        <f>IF(CX_jour!9:9,"AAAAAH/T+qs=",0)</f>
        <v>0</v>
      </c>
      <c r="FQ6" t="e">
        <f>AND(CX_jour!A9,"AAAAAH/T+qw=")</f>
        <v>#VALUE!</v>
      </c>
      <c r="FR6" t="e">
        <f>AND(CX_jour!B9,"AAAAAH/T+q0=")</f>
        <v>#VALUE!</v>
      </c>
      <c r="FS6" t="e">
        <f>AND(CX_jour!C9,"AAAAAH/T+q4=")</f>
        <v>#VALUE!</v>
      </c>
      <c r="FT6" t="e">
        <f>AND(CX_jour!D9,"AAAAAH/T+q8=")</f>
        <v>#VALUE!</v>
      </c>
      <c r="FU6" t="e">
        <f>AND(CX_jour!E9,"AAAAAH/T+rA=")</f>
        <v>#VALUE!</v>
      </c>
      <c r="FV6" t="e">
        <f>AND(CX_jour!F9,"AAAAAH/T+rE=")</f>
        <v>#VALUE!</v>
      </c>
      <c r="FW6" t="e">
        <f>AND(CX_jour!G9,"AAAAAH/T+rI=")</f>
        <v>#VALUE!</v>
      </c>
      <c r="FX6" t="e">
        <f>AND(CX_jour!H9,"AAAAAH/T+rM=")</f>
        <v>#VALUE!</v>
      </c>
      <c r="FY6" t="e">
        <f>AND(CX_jour!I9,"AAAAAH/T+rQ=")</f>
        <v>#VALUE!</v>
      </c>
      <c r="FZ6" t="e">
        <f>AND(CX_jour!J9,"AAAAAH/T+rU=")</f>
        <v>#VALUE!</v>
      </c>
      <c r="GA6" t="e">
        <f>AND(CX_jour!K9,"AAAAAH/T+rY=")</f>
        <v>#VALUE!</v>
      </c>
      <c r="GB6" t="e">
        <f>AND(CX_jour!L9,"AAAAAH/T+rc=")</f>
        <v>#VALUE!</v>
      </c>
      <c r="GC6" t="e">
        <f>AND(CX_jour!M9,"AAAAAH/T+rg=")</f>
        <v>#VALUE!</v>
      </c>
      <c r="GD6" t="e">
        <f>AND(CX_jour!N9,"AAAAAH/T+rk=")</f>
        <v>#VALUE!</v>
      </c>
      <c r="GE6" t="e">
        <f>AND(CX_jour!O9,"AAAAAH/T+ro=")</f>
        <v>#VALUE!</v>
      </c>
      <c r="GF6" t="e">
        <f>AND(CX_jour!P9,"AAAAAH/T+rs=")</f>
        <v>#VALUE!</v>
      </c>
      <c r="GG6" t="e">
        <f>AND(CX_jour!Q9,"AAAAAH/T+rw=")</f>
        <v>#VALUE!</v>
      </c>
      <c r="GH6" t="e">
        <f>AND(CX_jour!R9,"AAAAAH/T+r0=")</f>
        <v>#VALUE!</v>
      </c>
      <c r="GI6" t="e">
        <f>AND(CX_jour!S9,"AAAAAH/T+r4=")</f>
        <v>#VALUE!</v>
      </c>
      <c r="GJ6" t="e">
        <f>AND(CX_jour!T9,"AAAAAH/T+r8=")</f>
        <v>#VALUE!</v>
      </c>
      <c r="GK6" t="e">
        <f>AND(CX_jour!U9,"AAAAAH/T+sA=")</f>
        <v>#VALUE!</v>
      </c>
      <c r="GL6">
        <f>IF(CX_jour!10:10,"AAAAAH/T+sE=",0)</f>
        <v>0</v>
      </c>
      <c r="GM6" t="e">
        <f>AND(CX_jour!A10,"AAAAAH/T+sI=")</f>
        <v>#VALUE!</v>
      </c>
      <c r="GN6" t="e">
        <f>AND(CX_jour!B10,"AAAAAH/T+sM=")</f>
        <v>#VALUE!</v>
      </c>
      <c r="GO6" t="e">
        <f>AND(CX_jour!C10,"AAAAAH/T+sQ=")</f>
        <v>#VALUE!</v>
      </c>
      <c r="GP6" t="e">
        <f>AND(CX_jour!D10,"AAAAAH/T+sU=")</f>
        <v>#VALUE!</v>
      </c>
      <c r="GQ6" t="e">
        <f>AND(CX_jour!E10,"AAAAAH/T+sY=")</f>
        <v>#VALUE!</v>
      </c>
      <c r="GR6" t="e">
        <f>AND(CX_jour!F10,"AAAAAH/T+sc=")</f>
        <v>#VALUE!</v>
      </c>
      <c r="GS6" t="e">
        <f>AND(CX_jour!G10,"AAAAAH/T+sg=")</f>
        <v>#VALUE!</v>
      </c>
      <c r="GT6" t="e">
        <f>AND(CX_jour!H10,"AAAAAH/T+sk=")</f>
        <v>#VALUE!</v>
      </c>
      <c r="GU6" t="e">
        <f>AND(CX_jour!I10,"AAAAAH/T+so=")</f>
        <v>#VALUE!</v>
      </c>
      <c r="GV6" t="e">
        <f>AND(CX_jour!J10,"AAAAAH/T+ss=")</f>
        <v>#VALUE!</v>
      </c>
      <c r="GW6" t="e">
        <f>AND(CX_jour!K10,"AAAAAH/T+sw=")</f>
        <v>#VALUE!</v>
      </c>
      <c r="GX6" t="e">
        <f>AND(CX_jour!L10,"AAAAAH/T+s0=")</f>
        <v>#VALUE!</v>
      </c>
      <c r="GY6" t="e">
        <f>AND(CX_jour!M10,"AAAAAH/T+s4=")</f>
        <v>#VALUE!</v>
      </c>
      <c r="GZ6" t="e">
        <f>AND(CX_jour!N10,"AAAAAH/T+s8=")</f>
        <v>#VALUE!</v>
      </c>
      <c r="HA6" t="e">
        <f>AND(CX_jour!O10,"AAAAAH/T+tA=")</f>
        <v>#VALUE!</v>
      </c>
      <c r="HB6" t="e">
        <f>AND(CX_jour!P10,"AAAAAH/T+tE=")</f>
        <v>#VALUE!</v>
      </c>
      <c r="HC6" t="e">
        <f>AND(CX_jour!Q10,"AAAAAH/T+tI=")</f>
        <v>#VALUE!</v>
      </c>
      <c r="HD6" t="e">
        <f>AND(CX_jour!R10,"AAAAAH/T+tM=")</f>
        <v>#VALUE!</v>
      </c>
      <c r="HE6" t="e">
        <f>AND(CX_jour!S10,"AAAAAH/T+tQ=")</f>
        <v>#VALUE!</v>
      </c>
      <c r="HF6" t="e">
        <f>AND(CX_jour!T10,"AAAAAH/T+tU=")</f>
        <v>#VALUE!</v>
      </c>
      <c r="HG6" t="e">
        <f>AND(CX_jour!U10,"AAAAAH/T+tY=")</f>
        <v>#VALUE!</v>
      </c>
      <c r="HH6">
        <f>IF(CX_jour!11:11,"AAAAAH/T+tc=",0)</f>
        <v>0</v>
      </c>
      <c r="HI6" t="e">
        <f>AND(CX_jour!A11,"AAAAAH/T+tg=")</f>
        <v>#VALUE!</v>
      </c>
      <c r="HJ6" t="e">
        <f>AND(CX_jour!B11,"AAAAAH/T+tk=")</f>
        <v>#VALUE!</v>
      </c>
      <c r="HK6" t="e">
        <f>AND(CX_jour!C11,"AAAAAH/T+to=")</f>
        <v>#VALUE!</v>
      </c>
      <c r="HL6" t="e">
        <f>AND(CX_jour!D11,"AAAAAH/T+ts=")</f>
        <v>#VALUE!</v>
      </c>
      <c r="HM6" t="e">
        <f>AND(CX_jour!E11,"AAAAAH/T+tw=")</f>
        <v>#VALUE!</v>
      </c>
      <c r="HN6" t="e">
        <f>AND(CX_jour!F11,"AAAAAH/T+t0=")</f>
        <v>#VALUE!</v>
      </c>
      <c r="HO6" t="e">
        <f>AND(CX_jour!G11,"AAAAAH/T+t4=")</f>
        <v>#VALUE!</v>
      </c>
      <c r="HP6" t="e">
        <f>AND(CX_jour!H11,"AAAAAH/T+t8=")</f>
        <v>#VALUE!</v>
      </c>
      <c r="HQ6" t="e">
        <f>AND(CX_jour!I11,"AAAAAH/T+uA=")</f>
        <v>#VALUE!</v>
      </c>
      <c r="HR6" t="e">
        <f>AND(CX_jour!J11,"AAAAAH/T+uE=")</f>
        <v>#VALUE!</v>
      </c>
      <c r="HS6" t="e">
        <f>AND(CX_jour!K11,"AAAAAH/T+uI=")</f>
        <v>#VALUE!</v>
      </c>
      <c r="HT6" t="e">
        <f>AND(CX_jour!L11,"AAAAAH/T+uM=")</f>
        <v>#VALUE!</v>
      </c>
      <c r="HU6" t="e">
        <f>AND(CX_jour!M11,"AAAAAH/T+uQ=")</f>
        <v>#VALUE!</v>
      </c>
      <c r="HV6" t="e">
        <f>AND(CX_jour!N11,"AAAAAH/T+uU=")</f>
        <v>#VALUE!</v>
      </c>
      <c r="HW6" t="e">
        <f>AND(CX_jour!O11,"AAAAAH/T+uY=")</f>
        <v>#VALUE!</v>
      </c>
      <c r="HX6" t="e">
        <f>AND(CX_jour!P11,"AAAAAH/T+uc=")</f>
        <v>#VALUE!</v>
      </c>
      <c r="HY6" t="e">
        <f>AND(CX_jour!Q11,"AAAAAH/T+ug=")</f>
        <v>#VALUE!</v>
      </c>
      <c r="HZ6" t="e">
        <f>AND(CX_jour!R11,"AAAAAH/T+uk=")</f>
        <v>#VALUE!</v>
      </c>
      <c r="IA6" t="e">
        <f>AND(CX_jour!S11,"AAAAAH/T+uo=")</f>
        <v>#VALUE!</v>
      </c>
      <c r="IB6" t="e">
        <f>AND(CX_jour!T11,"AAAAAH/T+us=")</f>
        <v>#VALUE!</v>
      </c>
      <c r="IC6" t="e">
        <f>AND(CX_jour!U11,"AAAAAH/T+uw=")</f>
        <v>#VALUE!</v>
      </c>
      <c r="ID6">
        <f>IF(CX_jour!12:12,"AAAAAH/T+u0=",0)</f>
        <v>0</v>
      </c>
      <c r="IE6" t="e">
        <f>AND(CX_jour!A12,"AAAAAH/T+u4=")</f>
        <v>#VALUE!</v>
      </c>
      <c r="IF6" t="e">
        <f>AND(CX_jour!B12,"AAAAAH/T+u8=")</f>
        <v>#VALUE!</v>
      </c>
      <c r="IG6" t="e">
        <f>AND(CX_jour!C12,"AAAAAH/T+vA=")</f>
        <v>#VALUE!</v>
      </c>
      <c r="IH6" t="e">
        <f>AND(CX_jour!D12,"AAAAAH/T+vE=")</f>
        <v>#VALUE!</v>
      </c>
      <c r="II6" t="e">
        <f>AND(CX_jour!E12,"AAAAAH/T+vI=")</f>
        <v>#VALUE!</v>
      </c>
      <c r="IJ6" t="e">
        <f>AND(CX_jour!F12,"AAAAAH/T+vM=")</f>
        <v>#VALUE!</v>
      </c>
      <c r="IK6" t="e">
        <f>AND(CX_jour!G12,"AAAAAH/T+vQ=")</f>
        <v>#VALUE!</v>
      </c>
      <c r="IL6" t="e">
        <f>AND(CX_jour!H12,"AAAAAH/T+vU=")</f>
        <v>#VALUE!</v>
      </c>
      <c r="IM6" t="e">
        <f>AND(CX_jour!I12,"AAAAAH/T+vY=")</f>
        <v>#VALUE!</v>
      </c>
      <c r="IN6" t="e">
        <f>AND(CX_jour!J12,"AAAAAH/T+vc=")</f>
        <v>#VALUE!</v>
      </c>
      <c r="IO6" t="e">
        <f>AND(CX_jour!K12,"AAAAAH/T+vg=")</f>
        <v>#VALUE!</v>
      </c>
      <c r="IP6" t="e">
        <f>AND(CX_jour!L12,"AAAAAH/T+vk=")</f>
        <v>#VALUE!</v>
      </c>
      <c r="IQ6" t="e">
        <f>AND(CX_jour!M12,"AAAAAH/T+vo=")</f>
        <v>#VALUE!</v>
      </c>
      <c r="IR6" t="e">
        <f>AND(CX_jour!N12,"AAAAAH/T+vs=")</f>
        <v>#VALUE!</v>
      </c>
      <c r="IS6" t="e">
        <f>AND(CX_jour!O12,"AAAAAH/T+vw=")</f>
        <v>#VALUE!</v>
      </c>
      <c r="IT6" t="e">
        <f>AND(CX_jour!P12,"AAAAAH/T+v0=")</f>
        <v>#VALUE!</v>
      </c>
      <c r="IU6" t="e">
        <f>AND(CX_jour!Q12,"AAAAAH/T+v4=")</f>
        <v>#VALUE!</v>
      </c>
      <c r="IV6" t="e">
        <f>AND(CX_jour!R12,"AAAAAH/T+v8=")</f>
        <v>#VALUE!</v>
      </c>
    </row>
    <row r="7" spans="1:256" ht="12.75">
      <c r="A7" t="e">
        <f>AND(CX_jour!S12,"AAAAAGv+fwA=")</f>
        <v>#VALUE!</v>
      </c>
      <c r="B7" t="e">
        <f>AND(CX_jour!T12,"AAAAAGv+fwE=")</f>
        <v>#VALUE!</v>
      </c>
      <c r="C7" t="e">
        <f>AND(CX_jour!U12,"AAAAAGv+fwI=")</f>
        <v>#VALUE!</v>
      </c>
      <c r="D7">
        <f>IF(CX_jour!13:13,"AAAAAGv+fwM=",0)</f>
        <v>0</v>
      </c>
      <c r="E7" t="e">
        <f>AND(CX_jour!A13,"AAAAAGv+fwQ=")</f>
        <v>#VALUE!</v>
      </c>
      <c r="F7" t="e">
        <f>AND(CX_jour!B13,"AAAAAGv+fwU=")</f>
        <v>#VALUE!</v>
      </c>
      <c r="G7" t="e">
        <f>AND(CX_jour!C13,"AAAAAGv+fwY=")</f>
        <v>#VALUE!</v>
      </c>
      <c r="H7" t="e">
        <f>AND(CX_jour!D13,"AAAAAGv+fwc=")</f>
        <v>#VALUE!</v>
      </c>
      <c r="I7" t="e">
        <f>AND(CX_jour!E13,"AAAAAGv+fwg=")</f>
        <v>#VALUE!</v>
      </c>
      <c r="J7" t="e">
        <f>AND(CX_jour!F13,"AAAAAGv+fwk=")</f>
        <v>#VALUE!</v>
      </c>
      <c r="K7" t="e">
        <f>AND(CX_jour!G13,"AAAAAGv+fwo=")</f>
        <v>#VALUE!</v>
      </c>
      <c r="L7" t="e">
        <f>AND(CX_jour!H13,"AAAAAGv+fws=")</f>
        <v>#VALUE!</v>
      </c>
      <c r="M7" t="e">
        <f>AND(CX_jour!I13,"AAAAAGv+fww=")</f>
        <v>#VALUE!</v>
      </c>
      <c r="N7" t="e">
        <f>AND(CX_jour!J13,"AAAAAGv+fw0=")</f>
        <v>#VALUE!</v>
      </c>
      <c r="O7" t="e">
        <f>AND(CX_jour!K13,"AAAAAGv+fw4=")</f>
        <v>#VALUE!</v>
      </c>
      <c r="P7" t="e">
        <f>AND(CX_jour!L13,"AAAAAGv+fw8=")</f>
        <v>#VALUE!</v>
      </c>
      <c r="Q7" t="e">
        <f>AND(CX_jour!M13,"AAAAAGv+fxA=")</f>
        <v>#VALUE!</v>
      </c>
      <c r="R7" t="e">
        <f>AND(CX_jour!N13,"AAAAAGv+fxE=")</f>
        <v>#VALUE!</v>
      </c>
      <c r="S7" t="e">
        <f>AND(CX_jour!O13,"AAAAAGv+fxI=")</f>
        <v>#VALUE!</v>
      </c>
      <c r="T7" t="e">
        <f>AND(CX_jour!P13,"AAAAAGv+fxM=")</f>
        <v>#VALUE!</v>
      </c>
      <c r="U7" t="e">
        <f>AND(CX_jour!Q13,"AAAAAGv+fxQ=")</f>
        <v>#VALUE!</v>
      </c>
      <c r="V7" t="e">
        <f>AND(CX_jour!R13,"AAAAAGv+fxU=")</f>
        <v>#VALUE!</v>
      </c>
      <c r="W7" t="e">
        <f>AND(CX_jour!S13,"AAAAAGv+fxY=")</f>
        <v>#VALUE!</v>
      </c>
      <c r="X7" t="e">
        <f>AND(CX_jour!T13,"AAAAAGv+fxc=")</f>
        <v>#VALUE!</v>
      </c>
      <c r="Y7" t="e">
        <f>AND(CX_jour!U13,"AAAAAGv+fxg=")</f>
        <v>#VALUE!</v>
      </c>
      <c r="Z7">
        <f>IF(CX_jour!14:14,"AAAAAGv+fxk=",0)</f>
        <v>0</v>
      </c>
      <c r="AA7" t="e">
        <f>AND(CX_jour!A14,"AAAAAGv+fxo=")</f>
        <v>#VALUE!</v>
      </c>
      <c r="AB7" t="e">
        <f>AND(CX_jour!B14,"AAAAAGv+fxs=")</f>
        <v>#VALUE!</v>
      </c>
      <c r="AC7" t="e">
        <f>AND(CX_jour!C14,"AAAAAGv+fxw=")</f>
        <v>#VALUE!</v>
      </c>
      <c r="AD7" t="e">
        <f>AND(CX_jour!D14,"AAAAAGv+fx0=")</f>
        <v>#VALUE!</v>
      </c>
      <c r="AE7" t="e">
        <f>AND(CX_jour!E14,"AAAAAGv+fx4=")</f>
        <v>#VALUE!</v>
      </c>
      <c r="AF7" t="e">
        <f>AND(CX_jour!F14,"AAAAAGv+fx8=")</f>
        <v>#VALUE!</v>
      </c>
      <c r="AG7" t="e">
        <f>AND(CX_jour!G14,"AAAAAGv+fyA=")</f>
        <v>#VALUE!</v>
      </c>
      <c r="AH7" t="e">
        <f>AND(CX_jour!H14,"AAAAAGv+fyE=")</f>
        <v>#VALUE!</v>
      </c>
      <c r="AI7" t="e">
        <f>AND(CX_jour!I14,"AAAAAGv+fyI=")</f>
        <v>#VALUE!</v>
      </c>
      <c r="AJ7" t="e">
        <f>AND(CX_jour!J14,"AAAAAGv+fyM=")</f>
        <v>#VALUE!</v>
      </c>
      <c r="AK7" t="e">
        <f>AND(CX_jour!K14,"AAAAAGv+fyQ=")</f>
        <v>#VALUE!</v>
      </c>
      <c r="AL7" t="e">
        <f>AND(CX_jour!L14,"AAAAAGv+fyU=")</f>
        <v>#VALUE!</v>
      </c>
      <c r="AM7" t="e">
        <f>AND(CX_jour!M14,"AAAAAGv+fyY=")</f>
        <v>#VALUE!</v>
      </c>
      <c r="AN7" t="e">
        <f>AND(CX_jour!N14,"AAAAAGv+fyc=")</f>
        <v>#VALUE!</v>
      </c>
      <c r="AO7" t="e">
        <f>AND(CX_jour!O14,"AAAAAGv+fyg=")</f>
        <v>#VALUE!</v>
      </c>
      <c r="AP7" t="e">
        <f>AND(CX_jour!P14,"AAAAAGv+fyk=")</f>
        <v>#VALUE!</v>
      </c>
      <c r="AQ7" t="e">
        <f>AND(CX_jour!Q14,"AAAAAGv+fyo=")</f>
        <v>#VALUE!</v>
      </c>
      <c r="AR7" t="e">
        <f>AND(CX_jour!R14,"AAAAAGv+fys=")</f>
        <v>#VALUE!</v>
      </c>
      <c r="AS7" t="e">
        <f>AND(CX_jour!S14,"AAAAAGv+fyw=")</f>
        <v>#VALUE!</v>
      </c>
      <c r="AT7" t="e">
        <f>AND(CX_jour!T14,"AAAAAGv+fy0=")</f>
        <v>#VALUE!</v>
      </c>
      <c r="AU7" t="e">
        <f>AND(CX_jour!U14,"AAAAAGv+fy4=")</f>
        <v>#VALUE!</v>
      </c>
      <c r="AV7">
        <f>IF(CX_jour!15:15,"AAAAAGv+fy8=",0)</f>
        <v>0</v>
      </c>
      <c r="AW7">
        <f>IF(CX_jour!16:16,"AAAAAGv+fzA=",0)</f>
        <v>0</v>
      </c>
      <c r="AX7">
        <f>IF(CX_jour!17:17,"AAAAAGv+fzE=",0)</f>
        <v>0</v>
      </c>
      <c r="AY7">
        <f>IF(CX_jour!18:18,"AAAAAGv+fzI=",0)</f>
        <v>0</v>
      </c>
      <c r="AZ7">
        <f>IF(CX_jour!A:A,"AAAAAGv+fzM=",0)</f>
        <v>0</v>
      </c>
      <c r="BA7">
        <f>IF(CX_jour!B:B,"AAAAAGv+fzQ=",0)</f>
        <v>0</v>
      </c>
      <c r="BB7">
        <f>IF(CX_jour!C:C,"AAAAAGv+fzU=",0)</f>
        <v>0</v>
      </c>
      <c r="BC7">
        <f>IF(CX_jour!D:D,"AAAAAGv+fzY=",0)</f>
        <v>0</v>
      </c>
      <c r="BD7">
        <f>IF(CX_jour!E:E,"AAAAAGv+fzc=",0)</f>
        <v>0</v>
      </c>
      <c r="BE7">
        <f>IF(CX_jour!F:F,"AAAAAGv+fzg=",0)</f>
        <v>0</v>
      </c>
      <c r="BF7">
        <f>IF(CX_jour!G:G,"AAAAAGv+fzk=",0)</f>
        <v>0</v>
      </c>
      <c r="BG7">
        <f>IF(CX_jour!H:H,"AAAAAGv+fzo=",0)</f>
        <v>0</v>
      </c>
      <c r="BH7">
        <f>IF(CX_jour!I:I,"AAAAAGv+fzs=",0)</f>
        <v>0</v>
      </c>
      <c r="BI7">
        <f>IF(CX_jour!J:J,"AAAAAGv+fzw=",0)</f>
        <v>0</v>
      </c>
      <c r="BJ7">
        <f>IF(CX_jour!K:K,"AAAAAGv+fz0=",0)</f>
        <v>0</v>
      </c>
      <c r="BK7">
        <f>IF(CX_jour!L:L,"AAAAAGv+fz4=",0)</f>
        <v>0</v>
      </c>
      <c r="BL7">
        <f>IF(CX_jour!M:M,"AAAAAGv+fz8=",0)</f>
        <v>0</v>
      </c>
      <c r="BM7">
        <f>IF(CX_jour!N:N,"AAAAAGv+f0A=",0)</f>
        <v>0</v>
      </c>
      <c r="BN7">
        <f>IF(CX_jour!O:O,"AAAAAGv+f0E=",0)</f>
        <v>0</v>
      </c>
      <c r="BO7">
        <f>IF(CX_jour!P:P,"AAAAAGv+f0I=",0)</f>
        <v>0</v>
      </c>
      <c r="BP7">
        <f>IF(CX_jour!Q:Q,"AAAAAGv+f0M=",0)</f>
        <v>0</v>
      </c>
      <c r="BQ7">
        <f>IF(CX_jour!R:R,"AAAAAGv+f0Q=",0)</f>
        <v>0</v>
      </c>
      <c r="BR7">
        <f>IF(CX_jour!S:S,"AAAAAGv+f0U=",0)</f>
        <v>0</v>
      </c>
      <c r="BS7">
        <f>IF(CX_jour!T:T,"AAAAAGv+f0Y=",0)</f>
        <v>0</v>
      </c>
      <c r="BT7">
        <f>IF(CX_jour!U:U,"AAAAAGv+f0c=",0)</f>
        <v>0</v>
      </c>
      <c r="BU7">
        <f>IF(Vendu!1:1,"AAAAAGv+f0g=",0)</f>
        <v>0</v>
      </c>
      <c r="BV7" t="e">
        <f>AND(Vendu!A1,"AAAAAGv+f0k=")</f>
        <v>#VALUE!</v>
      </c>
      <c r="BW7" t="e">
        <f>AND(Vendu!B1,"AAAAAGv+f0o=")</f>
        <v>#VALUE!</v>
      </c>
      <c r="BX7" t="e">
        <f>AND(Vendu!C1,"AAAAAGv+f0s=")</f>
        <v>#VALUE!</v>
      </c>
      <c r="BY7" t="e">
        <f>AND(Vendu!D1,"AAAAAGv+f0w=")</f>
        <v>#VALUE!</v>
      </c>
      <c r="BZ7" t="e">
        <f>AND(Vendu!E1,"AAAAAGv+f00=")</f>
        <v>#VALUE!</v>
      </c>
      <c r="CA7" t="e">
        <f>AND(Vendu!F1,"AAAAAGv+f04=")</f>
        <v>#VALUE!</v>
      </c>
      <c r="CB7" t="e">
        <f>AND(Vendu!G1,"AAAAAGv+f08=")</f>
        <v>#VALUE!</v>
      </c>
      <c r="CC7" t="e">
        <f>AND(Vendu!H1,"AAAAAGv+f1A=")</f>
        <v>#VALUE!</v>
      </c>
      <c r="CD7" t="e">
        <f>AND(Vendu!I1,"AAAAAGv+f1E=")</f>
        <v>#VALUE!</v>
      </c>
      <c r="CE7" t="e">
        <f>AND(Vendu!J1,"AAAAAGv+f1I=")</f>
        <v>#VALUE!</v>
      </c>
      <c r="CF7" t="e">
        <f>AND(Vendu!K1,"AAAAAGv+f1M=")</f>
        <v>#VALUE!</v>
      </c>
      <c r="CG7" t="e">
        <f>AND(Vendu!L1,"AAAAAGv+f1Q=")</f>
        <v>#VALUE!</v>
      </c>
      <c r="CH7" t="e">
        <f>AND(Vendu!M1,"AAAAAGv+f1U=")</f>
        <v>#VALUE!</v>
      </c>
      <c r="CI7" t="e">
        <f>AND(Vendu!N1,"AAAAAGv+f1Y=")</f>
        <v>#VALUE!</v>
      </c>
      <c r="CJ7" t="e">
        <f>AND(Vendu!O1,"AAAAAGv+f1c=")</f>
        <v>#VALUE!</v>
      </c>
      <c r="CK7" t="e">
        <f>AND(Vendu!P1,"AAAAAGv+f1g=")</f>
        <v>#VALUE!</v>
      </c>
      <c r="CL7" t="e">
        <f>AND(Vendu!Q1,"AAAAAGv+f1k=")</f>
        <v>#VALUE!</v>
      </c>
      <c r="CM7" t="e">
        <f>AND(Vendu!R1,"AAAAAGv+f1o=")</f>
        <v>#VALUE!</v>
      </c>
      <c r="CN7" t="e">
        <f>AND(Vendu!S1,"AAAAAGv+f1s=")</f>
        <v>#VALUE!</v>
      </c>
      <c r="CO7" t="e">
        <f>AND(Vendu!T1,"AAAAAGv+f1w=")</f>
        <v>#VALUE!</v>
      </c>
      <c r="CP7" t="e">
        <f>AND(Vendu!U1,"AAAAAGv+f10=")</f>
        <v>#VALUE!</v>
      </c>
      <c r="CQ7" t="e">
        <f>AND(Vendu!V1,"AAAAAGv+f14=")</f>
        <v>#VALUE!</v>
      </c>
      <c r="CR7" t="e">
        <f>AND(Vendu!W1,"AAAAAGv+f18=")</f>
        <v>#VALUE!</v>
      </c>
      <c r="CS7" t="e">
        <f>AND(Vendu!X1,"AAAAAGv+f2A=")</f>
        <v>#VALUE!</v>
      </c>
      <c r="CT7" t="e">
        <f>AND(Vendu!Y1,"AAAAAGv+f2E=")</f>
        <v>#VALUE!</v>
      </c>
      <c r="CU7">
        <f>IF(Vendu!2:2,"AAAAAGv+f2I=",0)</f>
        <v>0</v>
      </c>
      <c r="CV7" t="e">
        <f>AND(Vendu!A2,"AAAAAGv+f2M=")</f>
        <v>#VALUE!</v>
      </c>
      <c r="CW7" t="e">
        <f>AND(Vendu!B2,"AAAAAGv+f2Q=")</f>
        <v>#VALUE!</v>
      </c>
      <c r="CX7" t="e">
        <f>AND(Vendu!C2,"AAAAAGv+f2U=")</f>
        <v>#VALUE!</v>
      </c>
      <c r="CY7" t="e">
        <f>AND(Vendu!D2,"AAAAAGv+f2Y=")</f>
        <v>#VALUE!</v>
      </c>
      <c r="CZ7" t="e">
        <f>AND(Vendu!E2,"AAAAAGv+f2c=")</f>
        <v>#VALUE!</v>
      </c>
      <c r="DA7" t="e">
        <f>AND(Vendu!F2,"AAAAAGv+f2g=")</f>
        <v>#VALUE!</v>
      </c>
      <c r="DB7" t="e">
        <f>AND(Vendu!G2,"AAAAAGv+f2k=")</f>
        <v>#VALUE!</v>
      </c>
      <c r="DC7" t="e">
        <f>AND(Vendu!H2,"AAAAAGv+f2o=")</f>
        <v>#VALUE!</v>
      </c>
      <c r="DD7" t="e">
        <f>AND(Vendu!I2,"AAAAAGv+f2s=")</f>
        <v>#VALUE!</v>
      </c>
      <c r="DE7" t="e">
        <f>AND(Vendu!J2,"AAAAAGv+f2w=")</f>
        <v>#VALUE!</v>
      </c>
      <c r="DF7" t="e">
        <f>AND(Vendu!K2,"AAAAAGv+f20=")</f>
        <v>#VALUE!</v>
      </c>
      <c r="DG7" t="e">
        <f>AND(Vendu!L2,"AAAAAGv+f24=")</f>
        <v>#VALUE!</v>
      </c>
      <c r="DH7" t="e">
        <f>AND(Vendu!M2,"AAAAAGv+f28=")</f>
        <v>#VALUE!</v>
      </c>
      <c r="DI7" t="e">
        <f>AND(Vendu!N2,"AAAAAGv+f3A=")</f>
        <v>#VALUE!</v>
      </c>
      <c r="DJ7" t="e">
        <f>AND(Vendu!O2,"AAAAAGv+f3E=")</f>
        <v>#VALUE!</v>
      </c>
      <c r="DK7" t="e">
        <f>AND(Vendu!P2,"AAAAAGv+f3I=")</f>
        <v>#VALUE!</v>
      </c>
      <c r="DL7" t="e">
        <f>AND(Vendu!Q2,"AAAAAGv+f3M=")</f>
        <v>#VALUE!</v>
      </c>
      <c r="DM7" t="e">
        <f>AND(Vendu!R2,"AAAAAGv+f3Q=")</f>
        <v>#VALUE!</v>
      </c>
      <c r="DN7" t="e">
        <f>AND(Vendu!S2,"AAAAAGv+f3U=")</f>
        <v>#VALUE!</v>
      </c>
      <c r="DO7" t="e">
        <f>AND(Vendu!T2,"AAAAAGv+f3Y=")</f>
        <v>#VALUE!</v>
      </c>
      <c r="DP7" t="e">
        <f>AND(Vendu!U2,"AAAAAGv+f3c=")</f>
        <v>#VALUE!</v>
      </c>
      <c r="DQ7" t="e">
        <f>AND(Vendu!V2,"AAAAAGv+f3g=")</f>
        <v>#VALUE!</v>
      </c>
      <c r="DR7" t="e">
        <f>AND(Vendu!W2,"AAAAAGv+f3k=")</f>
        <v>#VALUE!</v>
      </c>
      <c r="DS7" t="e">
        <f>AND(Vendu!X2,"AAAAAGv+f3o=")</f>
        <v>#VALUE!</v>
      </c>
      <c r="DT7" t="e">
        <f>AND(Vendu!Y2,"AAAAAGv+f3s=")</f>
        <v>#VALUE!</v>
      </c>
      <c r="DU7">
        <f>IF(Vendu!3:3,"AAAAAGv+f3w=",0)</f>
        <v>0</v>
      </c>
      <c r="DV7" t="e">
        <f>AND(Vendu!A3,"AAAAAGv+f30=")</f>
        <v>#VALUE!</v>
      </c>
      <c r="DW7" t="e">
        <f>AND(Vendu!B3,"AAAAAGv+f34=")</f>
        <v>#VALUE!</v>
      </c>
      <c r="DX7" t="e">
        <f>AND(Vendu!C3,"AAAAAGv+f38=")</f>
        <v>#VALUE!</v>
      </c>
      <c r="DY7" t="e">
        <f>AND(Vendu!D3,"AAAAAGv+f4A=")</f>
        <v>#VALUE!</v>
      </c>
      <c r="DZ7" t="e">
        <f>AND(Vendu!E3,"AAAAAGv+f4E=")</f>
        <v>#VALUE!</v>
      </c>
      <c r="EA7" t="e">
        <f>AND(Vendu!F3,"AAAAAGv+f4I=")</f>
        <v>#VALUE!</v>
      </c>
      <c r="EB7" t="e">
        <f>AND(Vendu!G3,"AAAAAGv+f4M=")</f>
        <v>#VALUE!</v>
      </c>
      <c r="EC7" t="e">
        <f>AND(Vendu!H3,"AAAAAGv+f4Q=")</f>
        <v>#VALUE!</v>
      </c>
      <c r="ED7" t="e">
        <f>AND(Vendu!I3,"AAAAAGv+f4U=")</f>
        <v>#VALUE!</v>
      </c>
      <c r="EE7" t="e">
        <f>AND(Vendu!J3,"AAAAAGv+f4Y=")</f>
        <v>#VALUE!</v>
      </c>
      <c r="EF7" t="e">
        <f>AND(Vendu!K3,"AAAAAGv+f4c=")</f>
        <v>#VALUE!</v>
      </c>
      <c r="EG7" t="e">
        <f>AND(Vendu!L3,"AAAAAGv+f4g=")</f>
        <v>#VALUE!</v>
      </c>
      <c r="EH7" t="e">
        <f>AND(Vendu!M3,"AAAAAGv+f4k=")</f>
        <v>#VALUE!</v>
      </c>
      <c r="EI7" t="e">
        <f>AND(Vendu!N3,"AAAAAGv+f4o=")</f>
        <v>#VALUE!</v>
      </c>
      <c r="EJ7" t="e">
        <f>AND(Vendu!O3,"AAAAAGv+f4s=")</f>
        <v>#VALUE!</v>
      </c>
      <c r="EK7" t="e">
        <f>AND(Vendu!P3,"AAAAAGv+f4w=")</f>
        <v>#VALUE!</v>
      </c>
      <c r="EL7" t="e">
        <f>AND(Vendu!Q3,"AAAAAGv+f40=")</f>
        <v>#VALUE!</v>
      </c>
      <c r="EM7" t="e">
        <f>AND(Vendu!R3,"AAAAAGv+f44=")</f>
        <v>#VALUE!</v>
      </c>
      <c r="EN7" t="e">
        <f>AND(Vendu!S3,"AAAAAGv+f48=")</f>
        <v>#VALUE!</v>
      </c>
      <c r="EO7" t="e">
        <f>AND(Vendu!T3,"AAAAAGv+f5A=")</f>
        <v>#VALUE!</v>
      </c>
      <c r="EP7" t="e">
        <f>AND(Vendu!U3,"AAAAAGv+f5E=")</f>
        <v>#VALUE!</v>
      </c>
      <c r="EQ7" t="e">
        <f>AND(Vendu!V3,"AAAAAGv+f5I=")</f>
        <v>#VALUE!</v>
      </c>
      <c r="ER7" t="e">
        <f>AND(Vendu!W3,"AAAAAGv+f5M=")</f>
        <v>#VALUE!</v>
      </c>
      <c r="ES7" t="e">
        <f>AND(Vendu!X3,"AAAAAGv+f5Q=")</f>
        <v>#VALUE!</v>
      </c>
      <c r="ET7" t="e">
        <f>AND(Vendu!Y3,"AAAAAGv+f5U=")</f>
        <v>#VALUE!</v>
      </c>
      <c r="EU7">
        <f>IF(Vendu!4:4,"AAAAAGv+f5Y=",0)</f>
        <v>0</v>
      </c>
      <c r="EV7" t="e">
        <f>AND(Vendu!A4,"AAAAAGv+f5c=")</f>
        <v>#VALUE!</v>
      </c>
      <c r="EW7" t="e">
        <f>AND(Vendu!B4,"AAAAAGv+f5g=")</f>
        <v>#VALUE!</v>
      </c>
      <c r="EX7" t="e">
        <f>AND(Vendu!C4,"AAAAAGv+f5k=")</f>
        <v>#VALUE!</v>
      </c>
      <c r="EY7" t="e">
        <f>AND(Vendu!D4,"AAAAAGv+f5o=")</f>
        <v>#VALUE!</v>
      </c>
      <c r="EZ7" t="e">
        <f>AND(Vendu!E4,"AAAAAGv+f5s=")</f>
        <v>#VALUE!</v>
      </c>
      <c r="FA7" t="e">
        <f>AND(Vendu!F4,"AAAAAGv+f5w=")</f>
        <v>#VALUE!</v>
      </c>
      <c r="FB7" t="e">
        <f>AND(Vendu!G4,"AAAAAGv+f50=")</f>
        <v>#VALUE!</v>
      </c>
      <c r="FC7" t="e">
        <f>AND(Vendu!H4,"AAAAAGv+f54=")</f>
        <v>#VALUE!</v>
      </c>
      <c r="FD7" t="e">
        <f>AND(Vendu!I4,"AAAAAGv+f58=")</f>
        <v>#VALUE!</v>
      </c>
      <c r="FE7" t="e">
        <f>AND(Vendu!J4,"AAAAAGv+f6A=")</f>
        <v>#VALUE!</v>
      </c>
      <c r="FF7" t="e">
        <f>AND(Vendu!K4,"AAAAAGv+f6E=")</f>
        <v>#VALUE!</v>
      </c>
      <c r="FG7" t="e">
        <f>AND(Vendu!L4,"AAAAAGv+f6I=")</f>
        <v>#VALUE!</v>
      </c>
      <c r="FH7" t="e">
        <f>AND(Vendu!M4,"AAAAAGv+f6M=")</f>
        <v>#VALUE!</v>
      </c>
      <c r="FI7" t="e">
        <f>AND(Vendu!N4,"AAAAAGv+f6Q=")</f>
        <v>#VALUE!</v>
      </c>
      <c r="FJ7" t="e">
        <f>AND(Vendu!O4,"AAAAAGv+f6U=")</f>
        <v>#VALUE!</v>
      </c>
      <c r="FK7" t="e">
        <f>AND(Vendu!P4,"AAAAAGv+f6Y=")</f>
        <v>#VALUE!</v>
      </c>
      <c r="FL7" t="e">
        <f>AND(Vendu!Q4,"AAAAAGv+f6c=")</f>
        <v>#VALUE!</v>
      </c>
      <c r="FM7" t="e">
        <f>AND(Vendu!R4,"AAAAAGv+f6g=")</f>
        <v>#VALUE!</v>
      </c>
      <c r="FN7" t="e">
        <f>AND(Vendu!S4,"AAAAAGv+f6k=")</f>
        <v>#VALUE!</v>
      </c>
      <c r="FO7" t="e">
        <f>AND(Vendu!T4,"AAAAAGv+f6o=")</f>
        <v>#VALUE!</v>
      </c>
      <c r="FP7" t="e">
        <f>AND(Vendu!U4,"AAAAAGv+f6s=")</f>
        <v>#VALUE!</v>
      </c>
      <c r="FQ7" t="e">
        <f>AND(Vendu!V4,"AAAAAGv+f6w=")</f>
        <v>#VALUE!</v>
      </c>
      <c r="FR7" t="e">
        <f>AND(Vendu!W4,"AAAAAGv+f60=")</f>
        <v>#VALUE!</v>
      </c>
      <c r="FS7" t="e">
        <f>AND(Vendu!X4,"AAAAAGv+f64=")</f>
        <v>#VALUE!</v>
      </c>
      <c r="FT7" t="e">
        <f>AND(Vendu!Y4,"AAAAAGv+f68=")</f>
        <v>#VALUE!</v>
      </c>
      <c r="FU7">
        <f>IF(Vendu!5:5,"AAAAAGv+f7A=",0)</f>
        <v>0</v>
      </c>
      <c r="FV7" t="e">
        <f>AND(Vendu!A5,"AAAAAGv+f7E=")</f>
        <v>#VALUE!</v>
      </c>
      <c r="FW7" t="e">
        <f>AND(Vendu!B5,"AAAAAGv+f7I=")</f>
        <v>#VALUE!</v>
      </c>
      <c r="FX7" t="e">
        <f>AND(Vendu!C5,"AAAAAGv+f7M=")</f>
        <v>#VALUE!</v>
      </c>
      <c r="FY7" t="e">
        <f>AND(Vendu!D5,"AAAAAGv+f7Q=")</f>
        <v>#VALUE!</v>
      </c>
      <c r="FZ7" t="e">
        <f>AND(Vendu!E5,"AAAAAGv+f7U=")</f>
        <v>#VALUE!</v>
      </c>
      <c r="GA7" t="e">
        <f>AND(Vendu!F5,"AAAAAGv+f7Y=")</f>
        <v>#VALUE!</v>
      </c>
      <c r="GB7" t="e">
        <f>AND(Vendu!G5,"AAAAAGv+f7c=")</f>
        <v>#VALUE!</v>
      </c>
      <c r="GC7" t="e">
        <f>AND(Vendu!H5,"AAAAAGv+f7g=")</f>
        <v>#VALUE!</v>
      </c>
      <c r="GD7" t="e">
        <f>AND(Vendu!I5,"AAAAAGv+f7k=")</f>
        <v>#VALUE!</v>
      </c>
      <c r="GE7" t="e">
        <f>AND(Vendu!J5,"AAAAAGv+f7o=")</f>
        <v>#VALUE!</v>
      </c>
      <c r="GF7" t="e">
        <f>AND(Vendu!K5,"AAAAAGv+f7s=")</f>
        <v>#VALUE!</v>
      </c>
      <c r="GG7" t="e">
        <f>AND(Vendu!L5,"AAAAAGv+f7w=")</f>
        <v>#VALUE!</v>
      </c>
      <c r="GH7" t="e">
        <f>AND(Vendu!M5,"AAAAAGv+f70=")</f>
        <v>#VALUE!</v>
      </c>
      <c r="GI7" t="e">
        <f>AND(Vendu!N5,"AAAAAGv+f74=")</f>
        <v>#VALUE!</v>
      </c>
      <c r="GJ7" t="e">
        <f>AND(Vendu!O5,"AAAAAGv+f78=")</f>
        <v>#VALUE!</v>
      </c>
      <c r="GK7" t="e">
        <f>AND(Vendu!P5,"AAAAAGv+f8A=")</f>
        <v>#VALUE!</v>
      </c>
      <c r="GL7" t="e">
        <f>AND(Vendu!Q5,"AAAAAGv+f8E=")</f>
        <v>#VALUE!</v>
      </c>
      <c r="GM7" t="e">
        <f>AND(Vendu!R5,"AAAAAGv+f8I=")</f>
        <v>#VALUE!</v>
      </c>
      <c r="GN7" t="e">
        <f>AND(Vendu!S5,"AAAAAGv+f8M=")</f>
        <v>#VALUE!</v>
      </c>
      <c r="GO7" t="e">
        <f>AND(Vendu!T5,"AAAAAGv+f8Q=")</f>
        <v>#VALUE!</v>
      </c>
      <c r="GP7" t="e">
        <f>AND(Vendu!U5,"AAAAAGv+f8U=")</f>
        <v>#VALUE!</v>
      </c>
      <c r="GQ7" t="e">
        <f>AND(Vendu!V5,"AAAAAGv+f8Y=")</f>
        <v>#VALUE!</v>
      </c>
      <c r="GR7" t="e">
        <f>AND(Vendu!W5,"AAAAAGv+f8c=")</f>
        <v>#VALUE!</v>
      </c>
      <c r="GS7" t="e">
        <f>AND(Vendu!X5,"AAAAAGv+f8g=")</f>
        <v>#VALUE!</v>
      </c>
      <c r="GT7" t="e">
        <f>AND(Vendu!Y5,"AAAAAGv+f8k=")</f>
        <v>#VALUE!</v>
      </c>
      <c r="GU7">
        <f>IF(Vendu!6:6,"AAAAAGv+f8o=",0)</f>
        <v>0</v>
      </c>
      <c r="GV7" t="e">
        <f>AND(Vendu!A6,"AAAAAGv+f8s=")</f>
        <v>#VALUE!</v>
      </c>
      <c r="GW7" t="e">
        <f>AND(Vendu!B6,"AAAAAGv+f8w=")</f>
        <v>#VALUE!</v>
      </c>
      <c r="GX7" t="e">
        <f>AND(Vendu!C6,"AAAAAGv+f80=")</f>
        <v>#VALUE!</v>
      </c>
      <c r="GY7" t="e">
        <f>AND(Vendu!D6,"AAAAAGv+f84=")</f>
        <v>#VALUE!</v>
      </c>
      <c r="GZ7" t="e">
        <f>AND(Vendu!E6,"AAAAAGv+f88=")</f>
        <v>#VALUE!</v>
      </c>
      <c r="HA7" t="e">
        <f>AND(Vendu!F6,"AAAAAGv+f9A=")</f>
        <v>#VALUE!</v>
      </c>
      <c r="HB7" t="e">
        <f>AND(Vendu!G6,"AAAAAGv+f9E=")</f>
        <v>#VALUE!</v>
      </c>
      <c r="HC7" t="e">
        <f>AND(Vendu!H6,"AAAAAGv+f9I=")</f>
        <v>#VALUE!</v>
      </c>
      <c r="HD7" t="e">
        <f>AND(Vendu!I6,"AAAAAGv+f9M=")</f>
        <v>#VALUE!</v>
      </c>
      <c r="HE7" t="e">
        <f>AND(Vendu!J6,"AAAAAGv+f9Q=")</f>
        <v>#VALUE!</v>
      </c>
      <c r="HF7" t="e">
        <f>AND(Vendu!K6,"AAAAAGv+f9U=")</f>
        <v>#VALUE!</v>
      </c>
      <c r="HG7" t="e">
        <f>AND(Vendu!L6,"AAAAAGv+f9Y=")</f>
        <v>#VALUE!</v>
      </c>
      <c r="HH7" t="e">
        <f>AND(Vendu!M6,"AAAAAGv+f9c=")</f>
        <v>#VALUE!</v>
      </c>
      <c r="HI7" t="e">
        <f>AND(Vendu!N6,"AAAAAGv+f9g=")</f>
        <v>#VALUE!</v>
      </c>
      <c r="HJ7" t="e">
        <f>AND(Vendu!O6,"AAAAAGv+f9k=")</f>
        <v>#VALUE!</v>
      </c>
      <c r="HK7" t="e">
        <f>AND(Vendu!P6,"AAAAAGv+f9o=")</f>
        <v>#VALUE!</v>
      </c>
      <c r="HL7" t="e">
        <f>AND(Vendu!Q6,"AAAAAGv+f9s=")</f>
        <v>#VALUE!</v>
      </c>
      <c r="HM7" t="e">
        <f>AND(Vendu!R6,"AAAAAGv+f9w=")</f>
        <v>#VALUE!</v>
      </c>
      <c r="HN7" t="e">
        <f>AND(Vendu!S6,"AAAAAGv+f90=")</f>
        <v>#VALUE!</v>
      </c>
      <c r="HO7" t="e">
        <f>AND(Vendu!T6,"AAAAAGv+f94=")</f>
        <v>#VALUE!</v>
      </c>
      <c r="HP7" t="e">
        <f>AND(Vendu!U6,"AAAAAGv+f98=")</f>
        <v>#VALUE!</v>
      </c>
      <c r="HQ7" t="e">
        <f>AND(Vendu!V6,"AAAAAGv+f+A=")</f>
        <v>#VALUE!</v>
      </c>
      <c r="HR7" t="e">
        <f>AND(Vendu!W6,"AAAAAGv+f+E=")</f>
        <v>#VALUE!</v>
      </c>
      <c r="HS7" t="e">
        <f>AND(Vendu!X6,"AAAAAGv+f+I=")</f>
        <v>#VALUE!</v>
      </c>
      <c r="HT7" t="e">
        <f>AND(Vendu!Y6,"AAAAAGv+f+M=")</f>
        <v>#VALUE!</v>
      </c>
      <c r="HU7">
        <f>IF(Vendu!7:7,"AAAAAGv+f+Q=",0)</f>
        <v>0</v>
      </c>
      <c r="HV7" t="e">
        <f>AND(Vendu!A7,"AAAAAGv+f+U=")</f>
        <v>#VALUE!</v>
      </c>
      <c r="HW7" t="e">
        <f>AND(Vendu!B7,"AAAAAGv+f+Y=")</f>
        <v>#VALUE!</v>
      </c>
      <c r="HX7" t="e">
        <f>AND(Vendu!C7,"AAAAAGv+f+c=")</f>
        <v>#VALUE!</v>
      </c>
      <c r="HY7" t="e">
        <f>AND(Vendu!D7,"AAAAAGv+f+g=")</f>
        <v>#VALUE!</v>
      </c>
      <c r="HZ7" t="e">
        <f>AND(Vendu!E7,"AAAAAGv+f+k=")</f>
        <v>#VALUE!</v>
      </c>
      <c r="IA7" t="e">
        <f>AND(Vendu!F7,"AAAAAGv+f+o=")</f>
        <v>#VALUE!</v>
      </c>
      <c r="IB7" t="e">
        <f>AND(Vendu!G7,"AAAAAGv+f+s=")</f>
        <v>#VALUE!</v>
      </c>
      <c r="IC7" t="e">
        <f>AND(Vendu!H7,"AAAAAGv+f+w=")</f>
        <v>#VALUE!</v>
      </c>
      <c r="ID7" t="e">
        <f>AND(Vendu!I7,"AAAAAGv+f+0=")</f>
        <v>#VALUE!</v>
      </c>
      <c r="IE7" t="e">
        <f>AND(Vendu!J7,"AAAAAGv+f+4=")</f>
        <v>#VALUE!</v>
      </c>
      <c r="IF7" t="e">
        <f>AND(Vendu!K7,"AAAAAGv+f+8=")</f>
        <v>#VALUE!</v>
      </c>
      <c r="IG7" t="e">
        <f>AND(Vendu!L7,"AAAAAGv+f/A=")</f>
        <v>#VALUE!</v>
      </c>
      <c r="IH7" t="e">
        <f>AND(Vendu!M7,"AAAAAGv+f/E=")</f>
        <v>#VALUE!</v>
      </c>
      <c r="II7" t="e">
        <f>AND(Vendu!N7,"AAAAAGv+f/I=")</f>
        <v>#VALUE!</v>
      </c>
      <c r="IJ7" t="e">
        <f>AND(Vendu!O7,"AAAAAGv+f/M=")</f>
        <v>#VALUE!</v>
      </c>
      <c r="IK7" t="e">
        <f>AND(Vendu!P7,"AAAAAGv+f/Q=")</f>
        <v>#VALUE!</v>
      </c>
      <c r="IL7" t="e">
        <f>AND(Vendu!Q7,"AAAAAGv+f/U=")</f>
        <v>#VALUE!</v>
      </c>
      <c r="IM7" t="e">
        <f>AND(Vendu!R7,"AAAAAGv+f/Y=")</f>
        <v>#VALUE!</v>
      </c>
      <c r="IN7" t="e">
        <f>AND(Vendu!S7,"AAAAAGv+f/c=")</f>
        <v>#VALUE!</v>
      </c>
      <c r="IO7" t="e">
        <f>AND(Vendu!T7,"AAAAAGv+f/g=")</f>
        <v>#VALUE!</v>
      </c>
      <c r="IP7" t="e">
        <f>AND(Vendu!U7,"AAAAAGv+f/k=")</f>
        <v>#VALUE!</v>
      </c>
      <c r="IQ7" t="e">
        <f>AND(Vendu!V7,"AAAAAGv+f/o=")</f>
        <v>#VALUE!</v>
      </c>
      <c r="IR7" t="e">
        <f>AND(Vendu!W7,"AAAAAGv+f/s=")</f>
        <v>#VALUE!</v>
      </c>
      <c r="IS7" t="e">
        <f>AND(Vendu!X7,"AAAAAGv+f/w=")</f>
        <v>#VALUE!</v>
      </c>
      <c r="IT7" t="e">
        <f>AND(Vendu!Y7,"AAAAAGv+f/0=")</f>
        <v>#VALUE!</v>
      </c>
      <c r="IU7">
        <f>IF(Vendu!8:8,"AAAAAGv+f/4=",0)</f>
        <v>0</v>
      </c>
      <c r="IV7" t="e">
        <f>AND(Vendu!A8,"AAAAAGv+f/8=")</f>
        <v>#VALUE!</v>
      </c>
    </row>
    <row r="8" spans="1:256" ht="12.75">
      <c r="A8" t="e">
        <f>AND(Vendu!B8,"AAAAAB9a/gA=")</f>
        <v>#VALUE!</v>
      </c>
      <c r="B8" t="e">
        <f>AND(Vendu!C8,"AAAAAB9a/gE=")</f>
        <v>#VALUE!</v>
      </c>
      <c r="C8" t="e">
        <f>AND(Vendu!D8,"AAAAAB9a/gI=")</f>
        <v>#VALUE!</v>
      </c>
      <c r="D8" t="e">
        <f>AND(Vendu!E8,"AAAAAB9a/gM=")</f>
        <v>#VALUE!</v>
      </c>
      <c r="E8" t="e">
        <f>AND(Vendu!F8,"AAAAAB9a/gQ=")</f>
        <v>#VALUE!</v>
      </c>
      <c r="F8" t="e">
        <f>AND(Vendu!G8,"AAAAAB9a/gU=")</f>
        <v>#VALUE!</v>
      </c>
      <c r="G8" t="e">
        <f>AND(Vendu!H8,"AAAAAB9a/gY=")</f>
        <v>#VALUE!</v>
      </c>
      <c r="H8" t="e">
        <f>AND(Vendu!I8,"AAAAAB9a/gc=")</f>
        <v>#VALUE!</v>
      </c>
      <c r="I8" t="e">
        <f>AND(Vendu!J8,"AAAAAB9a/gg=")</f>
        <v>#VALUE!</v>
      </c>
      <c r="J8" t="e">
        <f>AND(Vendu!K8,"AAAAAB9a/gk=")</f>
        <v>#VALUE!</v>
      </c>
      <c r="K8" t="e">
        <f>AND(Vendu!L8,"AAAAAB9a/go=")</f>
        <v>#VALUE!</v>
      </c>
      <c r="L8" t="e">
        <f>AND(Vendu!M8,"AAAAAB9a/gs=")</f>
        <v>#VALUE!</v>
      </c>
      <c r="M8" t="e">
        <f>AND(Vendu!N8,"AAAAAB9a/gw=")</f>
        <v>#VALUE!</v>
      </c>
      <c r="N8" t="e">
        <f>AND(Vendu!O8,"AAAAAB9a/g0=")</f>
        <v>#VALUE!</v>
      </c>
      <c r="O8" t="e">
        <f>AND(Vendu!P8,"AAAAAB9a/g4=")</f>
        <v>#VALUE!</v>
      </c>
      <c r="P8" t="e">
        <f>AND(Vendu!Q8,"AAAAAB9a/g8=")</f>
        <v>#VALUE!</v>
      </c>
      <c r="Q8" t="e">
        <f>AND(Vendu!R8,"AAAAAB9a/hA=")</f>
        <v>#VALUE!</v>
      </c>
      <c r="R8" t="e">
        <f>AND(Vendu!S8,"AAAAAB9a/hE=")</f>
        <v>#VALUE!</v>
      </c>
      <c r="S8" t="e">
        <f>AND(Vendu!T8,"AAAAAB9a/hI=")</f>
        <v>#VALUE!</v>
      </c>
      <c r="T8" t="e">
        <f>AND(Vendu!U8,"AAAAAB9a/hM=")</f>
        <v>#VALUE!</v>
      </c>
      <c r="U8" t="e">
        <f>AND(Vendu!V8,"AAAAAB9a/hQ=")</f>
        <v>#VALUE!</v>
      </c>
      <c r="V8" t="e">
        <f>AND(Vendu!W8,"AAAAAB9a/hU=")</f>
        <v>#VALUE!</v>
      </c>
      <c r="W8" t="e">
        <f>AND(Vendu!X8,"AAAAAB9a/hY=")</f>
        <v>#VALUE!</v>
      </c>
      <c r="X8" t="e">
        <f>AND(Vendu!Y8,"AAAAAB9a/hc=")</f>
        <v>#VALUE!</v>
      </c>
      <c r="Y8">
        <f>IF(Vendu!9:9,"AAAAAB9a/hg=",0)</f>
        <v>0</v>
      </c>
      <c r="Z8" t="e">
        <f>AND(Vendu!A9,"AAAAAB9a/hk=")</f>
        <v>#VALUE!</v>
      </c>
      <c r="AA8" t="e">
        <f>AND(Vendu!B9,"AAAAAB9a/ho=")</f>
        <v>#VALUE!</v>
      </c>
      <c r="AB8" t="e">
        <f>AND(Vendu!C9,"AAAAAB9a/hs=")</f>
        <v>#VALUE!</v>
      </c>
      <c r="AC8" t="e">
        <f>AND(Vendu!D9,"AAAAAB9a/hw=")</f>
        <v>#VALUE!</v>
      </c>
      <c r="AD8" t="e">
        <f>AND(Vendu!E9,"AAAAAB9a/h0=")</f>
        <v>#VALUE!</v>
      </c>
      <c r="AE8" t="e">
        <f>AND(Vendu!F9,"AAAAAB9a/h4=")</f>
        <v>#VALUE!</v>
      </c>
      <c r="AF8" t="e">
        <f>AND(Vendu!G9,"AAAAAB9a/h8=")</f>
        <v>#VALUE!</v>
      </c>
      <c r="AG8" t="e">
        <f>AND(Vendu!H9,"AAAAAB9a/iA=")</f>
        <v>#VALUE!</v>
      </c>
      <c r="AH8" t="e">
        <f>AND(Vendu!I9,"AAAAAB9a/iE=")</f>
        <v>#VALUE!</v>
      </c>
      <c r="AI8" t="e">
        <f>AND(Vendu!J9,"AAAAAB9a/iI=")</f>
        <v>#VALUE!</v>
      </c>
      <c r="AJ8" t="e">
        <f>AND(Vendu!K9,"AAAAAB9a/iM=")</f>
        <v>#VALUE!</v>
      </c>
      <c r="AK8" t="e">
        <f>AND(Vendu!L9,"AAAAAB9a/iQ=")</f>
        <v>#VALUE!</v>
      </c>
      <c r="AL8" t="e">
        <f>AND(Vendu!M9,"AAAAAB9a/iU=")</f>
        <v>#VALUE!</v>
      </c>
      <c r="AM8" t="e">
        <f>AND(Vendu!N9,"AAAAAB9a/iY=")</f>
        <v>#VALUE!</v>
      </c>
      <c r="AN8" t="e">
        <f>AND(Vendu!O9,"AAAAAB9a/ic=")</f>
        <v>#VALUE!</v>
      </c>
      <c r="AO8" t="e">
        <f>AND(Vendu!P9,"AAAAAB9a/ig=")</f>
        <v>#VALUE!</v>
      </c>
      <c r="AP8" t="e">
        <f>AND(Vendu!Q9,"AAAAAB9a/ik=")</f>
        <v>#VALUE!</v>
      </c>
      <c r="AQ8" t="e">
        <f>AND(Vendu!R9,"AAAAAB9a/io=")</f>
        <v>#VALUE!</v>
      </c>
      <c r="AR8" t="e">
        <f>AND(Vendu!S9,"AAAAAB9a/is=")</f>
        <v>#VALUE!</v>
      </c>
      <c r="AS8" t="e">
        <f>AND(Vendu!T9,"AAAAAB9a/iw=")</f>
        <v>#VALUE!</v>
      </c>
      <c r="AT8" t="e">
        <f>AND(Vendu!U9,"AAAAAB9a/i0=")</f>
        <v>#VALUE!</v>
      </c>
      <c r="AU8" t="e">
        <f>AND(Vendu!V9,"AAAAAB9a/i4=")</f>
        <v>#VALUE!</v>
      </c>
      <c r="AV8" t="e">
        <f>AND(Vendu!W9,"AAAAAB9a/i8=")</f>
        <v>#VALUE!</v>
      </c>
      <c r="AW8" t="e">
        <f>AND(Vendu!X9,"AAAAAB9a/jA=")</f>
        <v>#VALUE!</v>
      </c>
      <c r="AX8" t="e">
        <f>AND(Vendu!Y9,"AAAAAB9a/jE=")</f>
        <v>#VALUE!</v>
      </c>
      <c r="AY8">
        <f>IF(Vendu!10:10,"AAAAAB9a/jI=",0)</f>
        <v>0</v>
      </c>
      <c r="AZ8" t="e">
        <f>AND(Vendu!A10,"AAAAAB9a/jM=")</f>
        <v>#VALUE!</v>
      </c>
      <c r="BA8" t="e">
        <f>AND(Vendu!B10,"AAAAAB9a/jQ=")</f>
        <v>#VALUE!</v>
      </c>
      <c r="BB8" t="e">
        <f>AND(Vendu!C10,"AAAAAB9a/jU=")</f>
        <v>#VALUE!</v>
      </c>
      <c r="BC8" t="e">
        <f>AND(Vendu!D10,"AAAAAB9a/jY=")</f>
        <v>#VALUE!</v>
      </c>
      <c r="BD8" t="e">
        <f>AND(Vendu!E10,"AAAAAB9a/jc=")</f>
        <v>#VALUE!</v>
      </c>
      <c r="BE8" t="e">
        <f>AND(Vendu!F10,"AAAAAB9a/jg=")</f>
        <v>#VALUE!</v>
      </c>
      <c r="BF8" t="e">
        <f>AND(Vendu!G10,"AAAAAB9a/jk=")</f>
        <v>#VALUE!</v>
      </c>
      <c r="BG8" t="e">
        <f>AND(Vendu!H10,"AAAAAB9a/jo=")</f>
        <v>#VALUE!</v>
      </c>
      <c r="BH8" t="e">
        <f>AND(Vendu!I10,"AAAAAB9a/js=")</f>
        <v>#VALUE!</v>
      </c>
      <c r="BI8" t="e">
        <f>AND(Vendu!J10,"AAAAAB9a/jw=")</f>
        <v>#VALUE!</v>
      </c>
      <c r="BJ8" t="e">
        <f>AND(Vendu!K10,"AAAAAB9a/j0=")</f>
        <v>#VALUE!</v>
      </c>
      <c r="BK8" t="e">
        <f>AND(Vendu!L10,"AAAAAB9a/j4=")</f>
        <v>#VALUE!</v>
      </c>
      <c r="BL8" t="e">
        <f>AND(Vendu!M10,"AAAAAB9a/j8=")</f>
        <v>#VALUE!</v>
      </c>
      <c r="BM8" t="e">
        <f>AND(Vendu!N10,"AAAAAB9a/kA=")</f>
        <v>#VALUE!</v>
      </c>
      <c r="BN8" t="e">
        <f>AND(Vendu!O10,"AAAAAB9a/kE=")</f>
        <v>#VALUE!</v>
      </c>
      <c r="BO8" t="e">
        <f>AND(Vendu!P10,"AAAAAB9a/kI=")</f>
        <v>#VALUE!</v>
      </c>
      <c r="BP8" t="e">
        <f>AND(Vendu!Q10,"AAAAAB9a/kM=")</f>
        <v>#VALUE!</v>
      </c>
      <c r="BQ8" t="e">
        <f>AND(Vendu!R10,"AAAAAB9a/kQ=")</f>
        <v>#VALUE!</v>
      </c>
      <c r="BR8" t="e">
        <f>AND(Vendu!S10,"AAAAAB9a/kU=")</f>
        <v>#VALUE!</v>
      </c>
      <c r="BS8" t="e">
        <f>AND(Vendu!T10,"AAAAAB9a/kY=")</f>
        <v>#VALUE!</v>
      </c>
      <c r="BT8" t="e">
        <f>AND(Vendu!U10,"AAAAAB9a/kc=")</f>
        <v>#VALUE!</v>
      </c>
      <c r="BU8" t="e">
        <f>AND(Vendu!V10,"AAAAAB9a/kg=")</f>
        <v>#VALUE!</v>
      </c>
      <c r="BV8" t="e">
        <f>AND(Vendu!W10,"AAAAAB9a/kk=")</f>
        <v>#VALUE!</v>
      </c>
      <c r="BW8" t="e">
        <f>AND(Vendu!X10,"AAAAAB9a/ko=")</f>
        <v>#VALUE!</v>
      </c>
      <c r="BX8" t="e">
        <f>AND(Vendu!Y10,"AAAAAB9a/ks=")</f>
        <v>#VALUE!</v>
      </c>
      <c r="BY8">
        <f>IF(Vendu!11:11,"AAAAAB9a/kw=",0)</f>
        <v>0</v>
      </c>
      <c r="BZ8" t="e">
        <f>AND(Vendu!A11,"AAAAAB9a/k0=")</f>
        <v>#VALUE!</v>
      </c>
      <c r="CA8" t="e">
        <f>AND(Vendu!B11,"AAAAAB9a/k4=")</f>
        <v>#VALUE!</v>
      </c>
      <c r="CB8" t="e">
        <f>AND(Vendu!C11,"AAAAAB9a/k8=")</f>
        <v>#VALUE!</v>
      </c>
      <c r="CC8" t="e">
        <f>AND(Vendu!D11,"AAAAAB9a/lA=")</f>
        <v>#VALUE!</v>
      </c>
      <c r="CD8" t="e">
        <f>AND(Vendu!E11,"AAAAAB9a/lE=")</f>
        <v>#VALUE!</v>
      </c>
      <c r="CE8" t="e">
        <f>AND(Vendu!F11,"AAAAAB9a/lI=")</f>
        <v>#VALUE!</v>
      </c>
      <c r="CF8" t="e">
        <f>AND(Vendu!G11,"AAAAAB9a/lM=")</f>
        <v>#VALUE!</v>
      </c>
      <c r="CG8" t="e">
        <f>AND(Vendu!H11,"AAAAAB9a/lQ=")</f>
        <v>#VALUE!</v>
      </c>
      <c r="CH8" t="e">
        <f>AND(Vendu!I11,"AAAAAB9a/lU=")</f>
        <v>#VALUE!</v>
      </c>
      <c r="CI8" t="e">
        <f>AND(Vendu!J11,"AAAAAB9a/lY=")</f>
        <v>#VALUE!</v>
      </c>
      <c r="CJ8" t="e">
        <f>AND(Vendu!K11,"AAAAAB9a/lc=")</f>
        <v>#VALUE!</v>
      </c>
      <c r="CK8" t="e">
        <f>AND(Vendu!L11,"AAAAAB9a/lg=")</f>
        <v>#VALUE!</v>
      </c>
      <c r="CL8" t="e">
        <f>AND(Vendu!M11,"AAAAAB9a/lk=")</f>
        <v>#VALUE!</v>
      </c>
      <c r="CM8" t="e">
        <f>AND(Vendu!N11,"AAAAAB9a/lo=")</f>
        <v>#VALUE!</v>
      </c>
      <c r="CN8" t="e">
        <f>AND(Vendu!O11,"AAAAAB9a/ls=")</f>
        <v>#VALUE!</v>
      </c>
      <c r="CO8" t="e">
        <f>AND(Vendu!P11,"AAAAAB9a/lw=")</f>
        <v>#VALUE!</v>
      </c>
      <c r="CP8" t="e">
        <f>AND(Vendu!Q11,"AAAAAB9a/l0=")</f>
        <v>#VALUE!</v>
      </c>
      <c r="CQ8" t="e">
        <f>AND(Vendu!R11,"AAAAAB9a/l4=")</f>
        <v>#VALUE!</v>
      </c>
      <c r="CR8" t="e">
        <f>AND(Vendu!S11,"AAAAAB9a/l8=")</f>
        <v>#VALUE!</v>
      </c>
      <c r="CS8" t="e">
        <f>AND(Vendu!T11,"AAAAAB9a/mA=")</f>
        <v>#VALUE!</v>
      </c>
      <c r="CT8" t="e">
        <f>AND(Vendu!U11,"AAAAAB9a/mE=")</f>
        <v>#VALUE!</v>
      </c>
      <c r="CU8" t="e">
        <f>AND(Vendu!V11,"AAAAAB9a/mI=")</f>
        <v>#VALUE!</v>
      </c>
      <c r="CV8" t="e">
        <f>AND(Vendu!W11,"AAAAAB9a/mM=")</f>
        <v>#VALUE!</v>
      </c>
      <c r="CW8" t="e">
        <f>AND(Vendu!X11,"AAAAAB9a/mQ=")</f>
        <v>#VALUE!</v>
      </c>
      <c r="CX8" t="e">
        <f>AND(Vendu!Y11,"AAAAAB9a/mU=")</f>
        <v>#VALUE!</v>
      </c>
      <c r="CY8">
        <f>IF(Vendu!12:12,"AAAAAB9a/mY=",0)</f>
        <v>0</v>
      </c>
      <c r="CZ8" t="e">
        <f>AND(Vendu!A12,"AAAAAB9a/mc=")</f>
        <v>#VALUE!</v>
      </c>
      <c r="DA8" t="e">
        <f>AND(Vendu!B12,"AAAAAB9a/mg=")</f>
        <v>#VALUE!</v>
      </c>
      <c r="DB8" t="e">
        <f>AND(Vendu!C12,"AAAAAB9a/mk=")</f>
        <v>#VALUE!</v>
      </c>
      <c r="DC8" t="e">
        <f>AND(Vendu!D12,"AAAAAB9a/mo=")</f>
        <v>#VALUE!</v>
      </c>
      <c r="DD8" t="e">
        <f>AND(Vendu!E12,"AAAAAB9a/ms=")</f>
        <v>#VALUE!</v>
      </c>
      <c r="DE8" t="e">
        <f>AND(Vendu!F12,"AAAAAB9a/mw=")</f>
        <v>#VALUE!</v>
      </c>
      <c r="DF8" t="e">
        <f>AND(Vendu!G12,"AAAAAB9a/m0=")</f>
        <v>#VALUE!</v>
      </c>
      <c r="DG8" t="e">
        <f>AND(Vendu!H12,"AAAAAB9a/m4=")</f>
        <v>#VALUE!</v>
      </c>
      <c r="DH8" t="e">
        <f>AND(Vendu!I12,"AAAAAB9a/m8=")</f>
        <v>#VALUE!</v>
      </c>
      <c r="DI8" t="e">
        <f>AND(Vendu!J12,"AAAAAB9a/nA=")</f>
        <v>#VALUE!</v>
      </c>
      <c r="DJ8" t="e">
        <f>AND(Vendu!K12,"AAAAAB9a/nE=")</f>
        <v>#VALUE!</v>
      </c>
      <c r="DK8" t="e">
        <f>AND(Vendu!L12,"AAAAAB9a/nI=")</f>
        <v>#VALUE!</v>
      </c>
      <c r="DL8" t="e">
        <f>AND(Vendu!M12,"AAAAAB9a/nM=")</f>
        <v>#VALUE!</v>
      </c>
      <c r="DM8" t="e">
        <f>AND(Vendu!N12,"AAAAAB9a/nQ=")</f>
        <v>#VALUE!</v>
      </c>
      <c r="DN8" t="e">
        <f>AND(Vendu!O12,"AAAAAB9a/nU=")</f>
        <v>#VALUE!</v>
      </c>
      <c r="DO8" t="e">
        <f>AND(Vendu!P12,"AAAAAB9a/nY=")</f>
        <v>#VALUE!</v>
      </c>
      <c r="DP8" t="e">
        <f>AND(Vendu!Q12,"AAAAAB9a/nc=")</f>
        <v>#VALUE!</v>
      </c>
      <c r="DQ8" t="e">
        <f>AND(Vendu!R12,"AAAAAB9a/ng=")</f>
        <v>#VALUE!</v>
      </c>
      <c r="DR8" t="e">
        <f>AND(Vendu!S12,"AAAAAB9a/nk=")</f>
        <v>#VALUE!</v>
      </c>
      <c r="DS8" t="e">
        <f>AND(Vendu!T12,"AAAAAB9a/no=")</f>
        <v>#VALUE!</v>
      </c>
      <c r="DT8" t="e">
        <f>AND(Vendu!U12,"AAAAAB9a/ns=")</f>
        <v>#VALUE!</v>
      </c>
      <c r="DU8" t="e">
        <f>AND(Vendu!V12,"AAAAAB9a/nw=")</f>
        <v>#VALUE!</v>
      </c>
      <c r="DV8" t="e">
        <f>AND(Vendu!W12,"AAAAAB9a/n0=")</f>
        <v>#VALUE!</v>
      </c>
      <c r="DW8" t="e">
        <f>AND(Vendu!X12,"AAAAAB9a/n4=")</f>
        <v>#VALUE!</v>
      </c>
      <c r="DX8" t="e">
        <f>AND(Vendu!Y12,"AAAAAB9a/n8=")</f>
        <v>#VALUE!</v>
      </c>
      <c r="DY8">
        <f>IF(Vendu!13:13,"AAAAAB9a/oA=",0)</f>
        <v>0</v>
      </c>
      <c r="DZ8" t="e">
        <f>AND(Vendu!A13,"AAAAAB9a/oE=")</f>
        <v>#VALUE!</v>
      </c>
      <c r="EA8" t="e">
        <f>AND(Vendu!B13,"AAAAAB9a/oI=")</f>
        <v>#VALUE!</v>
      </c>
      <c r="EB8" t="e">
        <f>AND(Vendu!C13,"AAAAAB9a/oM=")</f>
        <v>#VALUE!</v>
      </c>
      <c r="EC8" t="e">
        <f>AND(Vendu!D13,"AAAAAB9a/oQ=")</f>
        <v>#VALUE!</v>
      </c>
      <c r="ED8" t="e">
        <f>AND(Vendu!E13,"AAAAAB9a/oU=")</f>
        <v>#VALUE!</v>
      </c>
      <c r="EE8" t="e">
        <f>AND(Vendu!#REF!,"AAAAAB9a/oY=")</f>
        <v>#REF!</v>
      </c>
      <c r="EF8" t="e">
        <f>AND(Vendu!#REF!,"AAAAAB9a/oc=")</f>
        <v>#REF!</v>
      </c>
      <c r="EG8" t="e">
        <f>AND(Vendu!#REF!,"AAAAAB9a/og=")</f>
        <v>#REF!</v>
      </c>
      <c r="EH8" t="e">
        <f>AND(Vendu!#REF!,"AAAAAB9a/ok=")</f>
        <v>#REF!</v>
      </c>
      <c r="EI8" t="e">
        <f>AND(Vendu!#REF!,"AAAAAB9a/oo=")</f>
        <v>#REF!</v>
      </c>
      <c r="EJ8" t="e">
        <f>AND(Vendu!#REF!,"AAAAAB9a/os=")</f>
        <v>#REF!</v>
      </c>
      <c r="EK8" t="e">
        <f>AND(Vendu!#REF!,"AAAAAB9a/ow=")</f>
        <v>#REF!</v>
      </c>
      <c r="EL8" t="e">
        <f>AND(Vendu!#REF!,"AAAAAB9a/o0=")</f>
        <v>#REF!</v>
      </c>
      <c r="EM8" t="e">
        <f>AND(Vendu!#REF!,"AAAAAB9a/o4=")</f>
        <v>#REF!</v>
      </c>
      <c r="EN8" t="e">
        <f>AND(Vendu!#REF!,"AAAAAB9a/o8=")</f>
        <v>#REF!</v>
      </c>
      <c r="EO8" t="e">
        <f>AND(Vendu!#REF!,"AAAAAB9a/pA=")</f>
        <v>#REF!</v>
      </c>
      <c r="EP8" t="e">
        <f>AND(Vendu!#REF!,"AAAAAB9a/pE=")</f>
        <v>#REF!</v>
      </c>
      <c r="EQ8" t="e">
        <f>AND(Vendu!#REF!,"AAAAAB9a/pI=")</f>
        <v>#REF!</v>
      </c>
      <c r="ER8" t="e">
        <f>AND(Vendu!#REF!,"AAAAAB9a/pM=")</f>
        <v>#REF!</v>
      </c>
      <c r="ES8" t="e">
        <f>AND(Vendu!#REF!,"AAAAAB9a/pQ=")</f>
        <v>#REF!</v>
      </c>
      <c r="ET8" t="e">
        <f>AND(Vendu!#REF!,"AAAAAB9a/pU=")</f>
        <v>#REF!</v>
      </c>
      <c r="EU8" t="e">
        <f>AND(Vendu!#REF!,"AAAAAB9a/pY=")</f>
        <v>#REF!</v>
      </c>
      <c r="EV8" t="e">
        <f>AND(Vendu!W13,"AAAAAB9a/pc=")</f>
        <v>#VALUE!</v>
      </c>
      <c r="EW8" t="e">
        <f>AND(Vendu!X13,"AAAAAB9a/pg=")</f>
        <v>#VALUE!</v>
      </c>
      <c r="EX8" t="e">
        <f>AND(Vendu!Y13,"AAAAAB9a/pk=")</f>
        <v>#VALUE!</v>
      </c>
      <c r="EY8">
        <f>IF(Vendu!16:16,"AAAAAB9a/po=",0)</f>
        <v>0</v>
      </c>
      <c r="EZ8" t="e">
        <f>AND(Vendu!A16,"AAAAAB9a/ps=")</f>
        <v>#VALUE!</v>
      </c>
      <c r="FA8" t="e">
        <f>AND(Vendu!B16,"AAAAAB9a/pw=")</f>
        <v>#VALUE!</v>
      </c>
      <c r="FB8" t="e">
        <f>AND(Vendu!C16,"AAAAAB9a/p0=")</f>
        <v>#VALUE!</v>
      </c>
      <c r="FC8" t="e">
        <f>AND(Vendu!D16,"AAAAAB9a/p4=")</f>
        <v>#VALUE!</v>
      </c>
      <c r="FD8" t="e">
        <f>AND(Vendu!E16,"AAAAAB9a/p8=")</f>
        <v>#VALUE!</v>
      </c>
      <c r="FE8" t="e">
        <f>AND(Vendu!#REF!,"AAAAAB9a/qA=")</f>
        <v>#REF!</v>
      </c>
      <c r="FF8" t="e">
        <f>AND(Vendu!#REF!,"AAAAAB9a/qE=")</f>
        <v>#REF!</v>
      </c>
      <c r="FG8" t="e">
        <f>AND(Vendu!#REF!,"AAAAAB9a/qI=")</f>
        <v>#REF!</v>
      </c>
      <c r="FH8" t="e">
        <f>AND(Vendu!#REF!,"AAAAAB9a/qM=")</f>
        <v>#REF!</v>
      </c>
      <c r="FI8" t="e">
        <f>AND(Vendu!#REF!,"AAAAAB9a/qQ=")</f>
        <v>#REF!</v>
      </c>
      <c r="FJ8" t="e">
        <f>AND(Vendu!#REF!,"AAAAAB9a/qU=")</f>
        <v>#REF!</v>
      </c>
      <c r="FK8" t="e">
        <f>AND(Vendu!#REF!,"AAAAAB9a/qY=")</f>
        <v>#REF!</v>
      </c>
      <c r="FL8" t="e">
        <f>AND(Vendu!#REF!,"AAAAAB9a/qc=")</f>
        <v>#REF!</v>
      </c>
      <c r="FM8" t="e">
        <f>AND(Vendu!#REF!,"AAAAAB9a/qg=")</f>
        <v>#REF!</v>
      </c>
      <c r="FN8" t="e">
        <f>AND(Vendu!#REF!,"AAAAAB9a/qk=")</f>
        <v>#REF!</v>
      </c>
      <c r="FO8" t="e">
        <f>AND(Vendu!#REF!,"AAAAAB9a/qo=")</f>
        <v>#REF!</v>
      </c>
      <c r="FP8" t="e">
        <f>AND(Vendu!#REF!,"AAAAAB9a/qs=")</f>
        <v>#REF!</v>
      </c>
      <c r="FQ8" t="e">
        <f>AND(Vendu!#REF!,"AAAAAB9a/qw=")</f>
        <v>#REF!</v>
      </c>
      <c r="FR8" t="e">
        <f>AND(Vendu!#REF!,"AAAAAB9a/q0=")</f>
        <v>#REF!</v>
      </c>
      <c r="FS8" t="e">
        <f>AND(Vendu!#REF!,"AAAAAB9a/q4=")</f>
        <v>#REF!</v>
      </c>
      <c r="FT8" t="e">
        <f>AND(Vendu!#REF!,"AAAAAB9a/q8=")</f>
        <v>#REF!</v>
      </c>
      <c r="FU8" t="e">
        <f>AND(Vendu!#REF!,"AAAAAB9a/rA=")</f>
        <v>#REF!</v>
      </c>
      <c r="FV8" t="e">
        <f>AND(Vendu!W16,"AAAAAB9a/rE=")</f>
        <v>#VALUE!</v>
      </c>
      <c r="FW8" t="e">
        <f>AND(Vendu!X16,"AAAAAB9a/rI=")</f>
        <v>#VALUE!</v>
      </c>
      <c r="FX8" t="e">
        <f>AND(Vendu!Y16,"AAAAAB9a/rM=")</f>
        <v>#VALUE!</v>
      </c>
      <c r="FY8">
        <f>IF(Vendu!19:19,"AAAAAB9a/rQ=",0)</f>
        <v>0</v>
      </c>
      <c r="FZ8" t="e">
        <f>AND(Vendu!A19,"AAAAAB9a/rU=")</f>
        <v>#VALUE!</v>
      </c>
      <c r="GA8" t="e">
        <f>AND(Vendu!B19,"AAAAAB9a/rY=")</f>
        <v>#VALUE!</v>
      </c>
      <c r="GB8" t="e">
        <f>AND(Vendu!C19,"AAAAAB9a/rc=")</f>
        <v>#VALUE!</v>
      </c>
      <c r="GC8" t="e">
        <f>AND(Vendu!D19,"AAAAAB9a/rg=")</f>
        <v>#VALUE!</v>
      </c>
      <c r="GD8" t="e">
        <f>AND(Vendu!E19,"AAAAAB9a/rk=")</f>
        <v>#VALUE!</v>
      </c>
      <c r="GE8" t="e">
        <f>AND(Vendu!F20,"AAAAAB9a/ro=")</f>
        <v>#VALUE!</v>
      </c>
      <c r="GF8" t="e">
        <f>AND(Vendu!G20,"AAAAAB9a/rs=")</f>
        <v>#VALUE!</v>
      </c>
      <c r="GG8" t="e">
        <f>AND(Vendu!H20,"AAAAAB9a/rw=")</f>
        <v>#VALUE!</v>
      </c>
      <c r="GH8" t="e">
        <f>AND(Vendu!I20,"AAAAAB9a/r0=")</f>
        <v>#VALUE!</v>
      </c>
      <c r="GI8" t="e">
        <f>AND(Vendu!J20,"AAAAAB9a/r4=")</f>
        <v>#VALUE!</v>
      </c>
      <c r="GJ8" t="e">
        <f>AND(Vendu!K20,"AAAAAB9a/r8=")</f>
        <v>#VALUE!</v>
      </c>
      <c r="GK8" t="e">
        <f>AND(Vendu!L20,"AAAAAB9a/sA=")</f>
        <v>#VALUE!</v>
      </c>
      <c r="GL8" t="e">
        <f>AND(Vendu!M20,"AAAAAB9a/sE=")</f>
        <v>#VALUE!</v>
      </c>
      <c r="GM8" t="e">
        <f>AND(Vendu!N20,"AAAAAB9a/sI=")</f>
        <v>#VALUE!</v>
      </c>
      <c r="GN8" t="e">
        <f>AND(Vendu!O20,"AAAAAB9a/sM=")</f>
        <v>#VALUE!</v>
      </c>
      <c r="GO8" t="e">
        <f>AND(Vendu!P20,"AAAAAB9a/sQ=")</f>
        <v>#VALUE!</v>
      </c>
      <c r="GP8" t="e">
        <f>AND(Vendu!Q20,"AAAAAB9a/sU=")</f>
        <v>#VALUE!</v>
      </c>
      <c r="GQ8" t="e">
        <f>AND(Vendu!R20,"AAAAAB9a/sY=")</f>
        <v>#VALUE!</v>
      </c>
      <c r="GR8" t="e">
        <f>AND(Vendu!S20,"AAAAAB9a/sc=")</f>
        <v>#VALUE!</v>
      </c>
      <c r="GS8" t="e">
        <f>AND(Vendu!T20,"AAAAAB9a/sg=")</f>
        <v>#VALUE!</v>
      </c>
      <c r="GT8" t="e">
        <f>AND(Vendu!U20,"AAAAAB9a/sk=")</f>
        <v>#VALUE!</v>
      </c>
      <c r="GU8" t="e">
        <f>AND(Vendu!V20,"AAAAAB9a/so=")</f>
        <v>#VALUE!</v>
      </c>
      <c r="GV8" t="e">
        <f>AND(Vendu!W19,"AAAAAB9a/ss=")</f>
        <v>#VALUE!</v>
      </c>
      <c r="GW8" t="e">
        <f>AND(Vendu!X19,"AAAAAB9a/sw=")</f>
        <v>#VALUE!</v>
      </c>
      <c r="GX8" t="e">
        <f>AND(Vendu!Y19,"AAAAAB9a/s0=")</f>
        <v>#VALUE!</v>
      </c>
      <c r="GY8">
        <f>IF(Vendu!22:22,"AAAAAB9a/s4=",0)</f>
        <v>0</v>
      </c>
      <c r="GZ8" t="e">
        <f>AND(Vendu!A22,"AAAAAB9a/s8=")</f>
        <v>#VALUE!</v>
      </c>
      <c r="HA8" t="e">
        <f>AND(Vendu!B22,"AAAAAB9a/tA=")</f>
        <v>#VALUE!</v>
      </c>
      <c r="HB8" t="e">
        <f>AND(Vendu!C22,"AAAAAB9a/tE=")</f>
        <v>#VALUE!</v>
      </c>
      <c r="HC8" t="e">
        <f>AND(Vendu!D22,"AAAAAB9a/tI=")</f>
        <v>#VALUE!</v>
      </c>
      <c r="HD8" t="e">
        <f>AND(Vendu!E22,"AAAAAB9a/tM=")</f>
        <v>#VALUE!</v>
      </c>
      <c r="HE8" t="e">
        <f>AND(Vendu!#REF!,"AAAAAB9a/tQ=")</f>
        <v>#REF!</v>
      </c>
      <c r="HF8" t="e">
        <f>AND(Vendu!#REF!,"AAAAAB9a/tU=")</f>
        <v>#REF!</v>
      </c>
      <c r="HG8" t="e">
        <f>AND(Vendu!#REF!,"AAAAAB9a/tY=")</f>
        <v>#REF!</v>
      </c>
      <c r="HH8" t="e">
        <f>AND(Vendu!#REF!,"AAAAAB9a/tc=")</f>
        <v>#REF!</v>
      </c>
      <c r="HI8" t="e">
        <f>AND(Vendu!#REF!,"AAAAAB9a/tg=")</f>
        <v>#REF!</v>
      </c>
      <c r="HJ8" t="e">
        <f>AND(Vendu!#REF!,"AAAAAB9a/tk=")</f>
        <v>#REF!</v>
      </c>
      <c r="HK8" t="e">
        <f>AND(Vendu!#REF!,"AAAAAB9a/to=")</f>
        <v>#REF!</v>
      </c>
      <c r="HL8" t="e">
        <f>AND(Vendu!#REF!,"AAAAAB9a/ts=")</f>
        <v>#REF!</v>
      </c>
      <c r="HM8" t="e">
        <f>AND(Vendu!#REF!,"AAAAAB9a/tw=")</f>
        <v>#REF!</v>
      </c>
      <c r="HN8" t="e">
        <f>AND(Vendu!#REF!,"AAAAAB9a/t0=")</f>
        <v>#REF!</v>
      </c>
      <c r="HO8" t="e">
        <f>AND(Vendu!#REF!,"AAAAAB9a/t4=")</f>
        <v>#REF!</v>
      </c>
      <c r="HP8" t="e">
        <f>AND(Vendu!#REF!,"AAAAAB9a/t8=")</f>
        <v>#REF!</v>
      </c>
      <c r="HQ8" t="e">
        <f>AND(Vendu!#REF!,"AAAAAB9a/uA=")</f>
        <v>#REF!</v>
      </c>
      <c r="HR8" t="e">
        <f>AND(Vendu!#REF!,"AAAAAB9a/uE=")</f>
        <v>#REF!</v>
      </c>
      <c r="HS8" t="e">
        <f>AND(Vendu!#REF!,"AAAAAB9a/uI=")</f>
        <v>#REF!</v>
      </c>
      <c r="HT8" t="e">
        <f>AND(Vendu!#REF!,"AAAAAB9a/uM=")</f>
        <v>#REF!</v>
      </c>
      <c r="HU8" t="e">
        <f>AND(Vendu!#REF!,"AAAAAB9a/uQ=")</f>
        <v>#REF!</v>
      </c>
      <c r="HV8" t="e">
        <f>AND(Vendu!W22,"AAAAAB9a/uU=")</f>
        <v>#VALUE!</v>
      </c>
      <c r="HW8" t="e">
        <f>AND(Vendu!X22,"AAAAAB9a/uY=")</f>
        <v>#VALUE!</v>
      </c>
      <c r="HX8" t="e">
        <f>AND(Vendu!Y22,"AAAAAB9a/uc=")</f>
        <v>#VALUE!</v>
      </c>
      <c r="HY8" t="e">
        <f>IF(Vendu!#REF!,"AAAAAB9a/ug=",0)</f>
        <v>#REF!</v>
      </c>
      <c r="HZ8" t="e">
        <f>AND(Vendu!#REF!,"AAAAAB9a/uk=")</f>
        <v>#REF!</v>
      </c>
      <c r="IA8" t="e">
        <f>AND(Vendu!#REF!,"AAAAAB9a/uo=")</f>
        <v>#REF!</v>
      </c>
      <c r="IB8" t="e">
        <f>AND(Vendu!#REF!,"AAAAAB9a/us=")</f>
        <v>#REF!</v>
      </c>
      <c r="IC8" t="e">
        <f>AND(Vendu!#REF!,"AAAAAB9a/uw=")</f>
        <v>#REF!</v>
      </c>
      <c r="ID8" t="e">
        <f>AND(Vendu!#REF!,"AAAAAB9a/u0=")</f>
        <v>#REF!</v>
      </c>
      <c r="IE8" t="e">
        <f>AND(Vendu!#REF!,"AAAAAB9a/u4=")</f>
        <v>#REF!</v>
      </c>
      <c r="IF8" t="e">
        <f>AND(Vendu!#REF!,"AAAAAB9a/u8=")</f>
        <v>#REF!</v>
      </c>
      <c r="IG8" t="e">
        <f>AND(Vendu!#REF!,"AAAAAB9a/vA=")</f>
        <v>#REF!</v>
      </c>
      <c r="IH8" t="e">
        <f>AND(Vendu!#REF!,"AAAAAB9a/vE=")</f>
        <v>#REF!</v>
      </c>
      <c r="II8" t="e">
        <f>AND(Vendu!#REF!,"AAAAAB9a/vI=")</f>
        <v>#REF!</v>
      </c>
      <c r="IJ8" t="e">
        <f>AND(Vendu!#REF!,"AAAAAB9a/vM=")</f>
        <v>#REF!</v>
      </c>
      <c r="IK8" t="e">
        <f>AND(Vendu!#REF!,"AAAAAB9a/vQ=")</f>
        <v>#REF!</v>
      </c>
      <c r="IL8" t="e">
        <f>AND(Vendu!#REF!,"AAAAAB9a/vU=")</f>
        <v>#REF!</v>
      </c>
      <c r="IM8" t="e">
        <f>AND(Vendu!#REF!,"AAAAAB9a/vY=")</f>
        <v>#REF!</v>
      </c>
      <c r="IN8" t="e">
        <f>AND(Vendu!#REF!,"AAAAAB9a/vc=")</f>
        <v>#REF!</v>
      </c>
      <c r="IO8" t="e">
        <f>AND(Vendu!#REF!,"AAAAAB9a/vg=")</f>
        <v>#REF!</v>
      </c>
      <c r="IP8" t="e">
        <f>AND(Vendu!#REF!,"AAAAAB9a/vk=")</f>
        <v>#REF!</v>
      </c>
      <c r="IQ8" t="e">
        <f>AND(Vendu!#REF!,"AAAAAB9a/vo=")</f>
        <v>#REF!</v>
      </c>
      <c r="IR8" t="e">
        <f>AND(Vendu!#REF!,"AAAAAB9a/vs=")</f>
        <v>#REF!</v>
      </c>
      <c r="IS8" t="e">
        <f>AND(Vendu!#REF!,"AAAAAB9a/vw=")</f>
        <v>#REF!</v>
      </c>
      <c r="IT8" t="e">
        <f>AND(Vendu!#REF!,"AAAAAB9a/v0=")</f>
        <v>#REF!</v>
      </c>
      <c r="IU8" t="e">
        <f>AND(Vendu!#REF!,"AAAAAB9a/v4=")</f>
        <v>#REF!</v>
      </c>
      <c r="IV8" t="e">
        <f>AND(Vendu!#REF!,"AAAAAB9a/v8=")</f>
        <v>#REF!</v>
      </c>
    </row>
    <row r="9" spans="1:256" ht="12.75">
      <c r="A9" t="e">
        <f>AND(Vendu!#REF!,"AAAAAGzn2wA=")</f>
        <v>#REF!</v>
      </c>
      <c r="B9" t="e">
        <f>AND(Vendu!#REF!,"AAAAAGzn2wE=")</f>
        <v>#REF!</v>
      </c>
      <c r="C9" t="str">
        <f>IF(Vendu!29:29,"AAAAAGzn2wI=",0)</f>
        <v>AAAAAGzn2wI=</v>
      </c>
      <c r="D9" t="e">
        <f>AND(Vendu!A29,"AAAAAGzn2wM=")</f>
        <v>#VALUE!</v>
      </c>
      <c r="E9" t="e">
        <f>AND(Vendu!B29,"AAAAAGzn2wQ=")</f>
        <v>#VALUE!</v>
      </c>
      <c r="F9" t="e">
        <f>AND(Vendu!C29,"AAAAAGzn2wU=")</f>
        <v>#VALUE!</v>
      </c>
      <c r="G9" t="e">
        <f>AND(Vendu!D29,"AAAAAGzn2wY=")</f>
        <v>#VALUE!</v>
      </c>
      <c r="H9" t="e">
        <f>AND(Vendu!E29,"AAAAAGzn2wc=")</f>
        <v>#VALUE!</v>
      </c>
      <c r="I9" t="e">
        <f>AND(Vendu!F29,"AAAAAGzn2wg=")</f>
        <v>#VALUE!</v>
      </c>
      <c r="J9" t="e">
        <f>AND(Vendu!G29,"AAAAAGzn2wk=")</f>
        <v>#VALUE!</v>
      </c>
      <c r="K9" t="e">
        <f>AND(Vendu!H29,"AAAAAGzn2wo=")</f>
        <v>#VALUE!</v>
      </c>
      <c r="L9" t="e">
        <f>AND(Vendu!I29,"AAAAAGzn2ws=")</f>
        <v>#VALUE!</v>
      </c>
      <c r="M9" t="e">
        <f>AND(Vendu!J29,"AAAAAGzn2ww=")</f>
        <v>#VALUE!</v>
      </c>
      <c r="N9" t="e">
        <f>AND(Vendu!K29,"AAAAAGzn2w0=")</f>
        <v>#VALUE!</v>
      </c>
      <c r="O9" t="e">
        <f>AND(Vendu!L29,"AAAAAGzn2w4=")</f>
        <v>#VALUE!</v>
      </c>
      <c r="P9" t="e">
        <f>AND(Vendu!M29,"AAAAAGzn2w8=")</f>
        <v>#VALUE!</v>
      </c>
      <c r="Q9" t="e">
        <f>AND(Vendu!N29,"AAAAAGzn2xA=")</f>
        <v>#VALUE!</v>
      </c>
      <c r="R9" t="e">
        <f>AND(Vendu!O29,"AAAAAGzn2xE=")</f>
        <v>#VALUE!</v>
      </c>
      <c r="S9" t="e">
        <f>AND(Vendu!P29,"AAAAAGzn2xI=")</f>
        <v>#VALUE!</v>
      </c>
      <c r="T9" t="e">
        <f>AND(Vendu!Q29,"AAAAAGzn2xM=")</f>
        <v>#VALUE!</v>
      </c>
      <c r="U9" t="e">
        <f>AND(Vendu!R29,"AAAAAGzn2xQ=")</f>
        <v>#VALUE!</v>
      </c>
      <c r="V9" t="e">
        <f>AND(Vendu!S29,"AAAAAGzn2xU=")</f>
        <v>#VALUE!</v>
      </c>
      <c r="W9" t="e">
        <f>AND(Vendu!T29,"AAAAAGzn2xY=")</f>
        <v>#VALUE!</v>
      </c>
      <c r="X9" t="e">
        <f>AND(Vendu!U29,"AAAAAGzn2xc=")</f>
        <v>#VALUE!</v>
      </c>
      <c r="Y9" t="e">
        <f>AND(Vendu!V29,"AAAAAGzn2xg=")</f>
        <v>#VALUE!</v>
      </c>
      <c r="Z9" t="e">
        <f>AND(Vendu!W29,"AAAAAGzn2xk=")</f>
        <v>#VALUE!</v>
      </c>
      <c r="AA9" t="e">
        <f>AND(Vendu!X29,"AAAAAGzn2xo=")</f>
        <v>#VALUE!</v>
      </c>
      <c r="AB9" t="e">
        <f>AND(Vendu!Y29,"AAAAAGzn2xs=")</f>
        <v>#VALUE!</v>
      </c>
      <c r="AC9">
        <f>IF(Vendu!33:33,"AAAAAGzn2xw=",0)</f>
        <v>0</v>
      </c>
      <c r="AD9" t="e">
        <f>AND(Vendu!A33,"AAAAAGzn2x0=")</f>
        <v>#VALUE!</v>
      </c>
      <c r="AE9" t="e">
        <f>AND(Vendu!B33,"AAAAAGzn2x4=")</f>
        <v>#VALUE!</v>
      </c>
      <c r="AF9" t="e">
        <f>AND(Vendu!C33,"AAAAAGzn2x8=")</f>
        <v>#VALUE!</v>
      </c>
      <c r="AG9" t="e">
        <f>AND(Vendu!D33,"AAAAAGzn2yA=")</f>
        <v>#VALUE!</v>
      </c>
      <c r="AH9" t="e">
        <f>AND(Vendu!E33,"AAAAAGzn2yE=")</f>
        <v>#VALUE!</v>
      </c>
      <c r="AI9" t="e">
        <f>AND(Vendu!F32,"AAAAAGzn2yI=")</f>
        <v>#VALUE!</v>
      </c>
      <c r="AJ9" t="e">
        <f>AND(Vendu!G32,"AAAAAGzn2yM=")</f>
        <v>#VALUE!</v>
      </c>
      <c r="AK9" t="e">
        <f>AND(Vendu!H32,"AAAAAGzn2yQ=")</f>
        <v>#VALUE!</v>
      </c>
      <c r="AL9" t="e">
        <f>AND(Vendu!I32,"AAAAAGzn2yU=")</f>
        <v>#VALUE!</v>
      </c>
      <c r="AM9" t="e">
        <f>AND(Vendu!J32,"AAAAAGzn2yY=")</f>
        <v>#VALUE!</v>
      </c>
      <c r="AN9" t="e">
        <f>AND(Vendu!K32,"AAAAAGzn2yc=")</f>
        <v>#VALUE!</v>
      </c>
      <c r="AO9" t="e">
        <f>AND(Vendu!L32,"AAAAAGzn2yg=")</f>
        <v>#VALUE!</v>
      </c>
      <c r="AP9" t="e">
        <f>AND(Vendu!M32,"AAAAAGzn2yk=")</f>
        <v>#VALUE!</v>
      </c>
      <c r="AQ9" t="e">
        <f>AND(Vendu!N32,"AAAAAGzn2yo=")</f>
        <v>#VALUE!</v>
      </c>
      <c r="AR9" t="e">
        <f>AND(Vendu!O32,"AAAAAGzn2ys=")</f>
        <v>#VALUE!</v>
      </c>
      <c r="AS9" t="e">
        <f>AND(Vendu!P32,"AAAAAGzn2yw=")</f>
        <v>#VALUE!</v>
      </c>
      <c r="AT9" t="e">
        <f>AND(Vendu!Q32,"AAAAAGzn2y0=")</f>
        <v>#VALUE!</v>
      </c>
      <c r="AU9" t="e">
        <f>AND(Vendu!R32,"AAAAAGzn2y4=")</f>
        <v>#VALUE!</v>
      </c>
      <c r="AV9" t="e">
        <f>AND(Vendu!S32,"AAAAAGzn2y8=")</f>
        <v>#VALUE!</v>
      </c>
      <c r="AW9" t="e">
        <f>AND(Vendu!T32,"AAAAAGzn2zA=")</f>
        <v>#VALUE!</v>
      </c>
      <c r="AX9" t="e">
        <f>AND(Vendu!U32,"AAAAAGzn2zE=")</f>
        <v>#VALUE!</v>
      </c>
      <c r="AY9" t="e">
        <f>AND(Vendu!V32,"AAAAAGzn2zI=")</f>
        <v>#VALUE!</v>
      </c>
      <c r="AZ9" t="e">
        <f>AND(Vendu!W33,"AAAAAGzn2zM=")</f>
        <v>#VALUE!</v>
      </c>
      <c r="BA9" t="e">
        <f>AND(Vendu!X33,"AAAAAGzn2zQ=")</f>
        <v>#VALUE!</v>
      </c>
      <c r="BB9" t="e">
        <f>AND(Vendu!Y33,"AAAAAGzn2zU=")</f>
        <v>#VALUE!</v>
      </c>
      <c r="BC9">
        <f>IF(Vendu!36:36,"AAAAAGzn2zY=",0)</f>
        <v>0</v>
      </c>
      <c r="BD9" t="e">
        <f>AND(Vendu!A36,"AAAAAGzn2zc=")</f>
        <v>#VALUE!</v>
      </c>
      <c r="BE9" t="e">
        <f>AND(Vendu!B36,"AAAAAGzn2zg=")</f>
        <v>#VALUE!</v>
      </c>
      <c r="BF9" t="e">
        <f>AND(Vendu!C36,"AAAAAGzn2zk=")</f>
        <v>#VALUE!</v>
      </c>
      <c r="BG9" t="e">
        <f>AND(Vendu!D36,"AAAAAGzn2zo=")</f>
        <v>#VALUE!</v>
      </c>
      <c r="BH9" t="e">
        <f>AND(Vendu!E36,"AAAAAGzn2zs=")</f>
        <v>#VALUE!</v>
      </c>
      <c r="BI9" t="e">
        <f>AND(Vendu!F37,"AAAAAGzn2zw=")</f>
        <v>#VALUE!</v>
      </c>
      <c r="BJ9" t="e">
        <f>AND(Vendu!G37,"AAAAAGzn2z0=")</f>
        <v>#VALUE!</v>
      </c>
      <c r="BK9" t="e">
        <f>AND(Vendu!H37,"AAAAAGzn2z4=")</f>
        <v>#VALUE!</v>
      </c>
      <c r="BL9" t="e">
        <f>AND(Vendu!I37,"AAAAAGzn2z8=")</f>
        <v>#VALUE!</v>
      </c>
      <c r="BM9" t="e">
        <f>AND(Vendu!J37,"AAAAAGzn20A=")</f>
        <v>#VALUE!</v>
      </c>
      <c r="BN9" t="e">
        <f>AND(Vendu!K37,"AAAAAGzn20E=")</f>
        <v>#VALUE!</v>
      </c>
      <c r="BO9" t="e">
        <f>AND(Vendu!L37,"AAAAAGzn20I=")</f>
        <v>#VALUE!</v>
      </c>
      <c r="BP9" t="e">
        <f>AND(Vendu!M37,"AAAAAGzn20M=")</f>
        <v>#VALUE!</v>
      </c>
      <c r="BQ9" t="e">
        <f>AND(Vendu!N37,"AAAAAGzn20Q=")</f>
        <v>#VALUE!</v>
      </c>
      <c r="BR9" t="e">
        <f>AND(Vendu!O37,"AAAAAGzn20U=")</f>
        <v>#VALUE!</v>
      </c>
      <c r="BS9" t="e">
        <f>AND(Vendu!P37,"AAAAAGzn20Y=")</f>
        <v>#VALUE!</v>
      </c>
      <c r="BT9" t="e">
        <f>AND(Vendu!Q37,"AAAAAGzn20c=")</f>
        <v>#VALUE!</v>
      </c>
      <c r="BU9" t="e">
        <f>AND(Vendu!R37,"AAAAAGzn20g=")</f>
        <v>#VALUE!</v>
      </c>
      <c r="BV9" t="e">
        <f>AND(Vendu!S37,"AAAAAGzn20k=")</f>
        <v>#VALUE!</v>
      </c>
      <c r="BW9" t="e">
        <f>AND(Vendu!T37,"AAAAAGzn20o=")</f>
        <v>#VALUE!</v>
      </c>
      <c r="BX9" t="e">
        <f>AND(Vendu!U37,"AAAAAGzn20s=")</f>
        <v>#VALUE!</v>
      </c>
      <c r="BY9" t="e">
        <f>AND(Vendu!V37,"AAAAAGzn20w=")</f>
        <v>#VALUE!</v>
      </c>
      <c r="BZ9" t="e">
        <f>AND(Vendu!W36,"AAAAAGzn200=")</f>
        <v>#VALUE!</v>
      </c>
      <c r="CA9" t="e">
        <f>AND(Vendu!X36,"AAAAAGzn204=")</f>
        <v>#VALUE!</v>
      </c>
      <c r="CB9" t="e">
        <f>AND(Vendu!Y36,"AAAAAGzn208=")</f>
        <v>#VALUE!</v>
      </c>
      <c r="CC9">
        <f>IF(Vendu!41:41,"AAAAAGzn21A=",0)</f>
        <v>0</v>
      </c>
      <c r="CD9" t="e">
        <f>AND(Vendu!A41,"AAAAAGzn21E=")</f>
        <v>#VALUE!</v>
      </c>
      <c r="CE9" t="e">
        <f>AND(Vendu!B41,"AAAAAGzn21I=")</f>
        <v>#VALUE!</v>
      </c>
      <c r="CF9" t="e">
        <f>AND(Vendu!C41,"AAAAAGzn21M=")</f>
        <v>#VALUE!</v>
      </c>
      <c r="CG9" t="e">
        <f>AND(Vendu!D41,"AAAAAGzn21Q=")</f>
        <v>#VALUE!</v>
      </c>
      <c r="CH9" t="e">
        <f>AND(Vendu!E41,"AAAAAGzn21U=")</f>
        <v>#VALUE!</v>
      </c>
      <c r="CI9" t="e">
        <f>AND(Vendu!F41,"AAAAAGzn21Y=")</f>
        <v>#VALUE!</v>
      </c>
      <c r="CJ9" t="e">
        <f>AND(Vendu!G41,"AAAAAGzn21c=")</f>
        <v>#VALUE!</v>
      </c>
      <c r="CK9" t="e">
        <f>AND(Vendu!H41,"AAAAAGzn21g=")</f>
        <v>#VALUE!</v>
      </c>
      <c r="CL9" t="e">
        <f>AND(Vendu!I41,"AAAAAGzn21k=")</f>
        <v>#VALUE!</v>
      </c>
      <c r="CM9" t="e">
        <f>AND(Vendu!J41,"AAAAAGzn21o=")</f>
        <v>#VALUE!</v>
      </c>
      <c r="CN9" t="e">
        <f>AND(Vendu!K41,"AAAAAGzn21s=")</f>
        <v>#VALUE!</v>
      </c>
      <c r="CO9" t="e">
        <f>AND(Vendu!L41,"AAAAAGzn21w=")</f>
        <v>#VALUE!</v>
      </c>
      <c r="CP9" t="e">
        <f>AND(Vendu!M41,"AAAAAGzn210=")</f>
        <v>#VALUE!</v>
      </c>
      <c r="CQ9" t="e">
        <f>AND(Vendu!N41,"AAAAAGzn214=")</f>
        <v>#VALUE!</v>
      </c>
      <c r="CR9" t="e">
        <f>AND(Vendu!O41,"AAAAAGzn218=")</f>
        <v>#VALUE!</v>
      </c>
      <c r="CS9" t="e">
        <f>AND(Vendu!P41,"AAAAAGzn22A=")</f>
        <v>#VALUE!</v>
      </c>
      <c r="CT9" t="e">
        <f>AND(Vendu!Q41,"AAAAAGzn22E=")</f>
        <v>#VALUE!</v>
      </c>
      <c r="CU9" t="e">
        <f>AND(Vendu!R41,"AAAAAGzn22I=")</f>
        <v>#VALUE!</v>
      </c>
      <c r="CV9" t="e">
        <f>AND(Vendu!S41,"AAAAAGzn22M=")</f>
        <v>#VALUE!</v>
      </c>
      <c r="CW9" t="e">
        <f>AND(Vendu!T41,"AAAAAGzn22Q=")</f>
        <v>#VALUE!</v>
      </c>
      <c r="CX9" t="e">
        <f>AND(Vendu!U41,"AAAAAGzn22U=")</f>
        <v>#VALUE!</v>
      </c>
      <c r="CY9" t="e">
        <f>AND(Vendu!V41,"AAAAAGzn22Y=")</f>
        <v>#VALUE!</v>
      </c>
      <c r="CZ9" t="e">
        <f>AND(Vendu!W41,"AAAAAGzn22c=")</f>
        <v>#VALUE!</v>
      </c>
      <c r="DA9" t="e">
        <f>AND(Vendu!X41,"AAAAAGzn22g=")</f>
        <v>#VALUE!</v>
      </c>
      <c r="DB9" t="e">
        <f>AND(Vendu!Y41,"AAAAAGzn22k=")</f>
        <v>#VALUE!</v>
      </c>
      <c r="DC9">
        <f>IF(Vendu!42:42,"AAAAAGzn22o=",0)</f>
        <v>0</v>
      </c>
      <c r="DD9" t="e">
        <f>AND(Vendu!A42,"AAAAAGzn22s=")</f>
        <v>#VALUE!</v>
      </c>
      <c r="DE9" t="e">
        <f>AND(Vendu!B42,"AAAAAGzn22w=")</f>
        <v>#VALUE!</v>
      </c>
      <c r="DF9" t="e">
        <f>AND(Vendu!C42,"AAAAAGzn220=")</f>
        <v>#VALUE!</v>
      </c>
      <c r="DG9" t="e">
        <f>AND(Vendu!D42,"AAAAAGzn224=")</f>
        <v>#VALUE!</v>
      </c>
      <c r="DH9" t="e">
        <f>AND(Vendu!E42,"AAAAAGzn228=")</f>
        <v>#VALUE!</v>
      </c>
      <c r="DI9" t="e">
        <f>AND(Vendu!F42,"AAAAAGzn23A=")</f>
        <v>#VALUE!</v>
      </c>
      <c r="DJ9" t="e">
        <f>AND(Vendu!G42,"AAAAAGzn23E=")</f>
        <v>#VALUE!</v>
      </c>
      <c r="DK9" t="e">
        <f>AND(Vendu!H42,"AAAAAGzn23I=")</f>
        <v>#VALUE!</v>
      </c>
      <c r="DL9" t="e">
        <f>AND(Vendu!I42,"AAAAAGzn23M=")</f>
        <v>#VALUE!</v>
      </c>
      <c r="DM9" t="e">
        <f>AND(Vendu!J42,"AAAAAGzn23Q=")</f>
        <v>#VALUE!</v>
      </c>
      <c r="DN9" t="e">
        <f>AND(Vendu!K42,"AAAAAGzn23U=")</f>
        <v>#VALUE!</v>
      </c>
      <c r="DO9" t="e">
        <f>AND(Vendu!L42,"AAAAAGzn23Y=")</f>
        <v>#VALUE!</v>
      </c>
      <c r="DP9" t="e">
        <f>AND(Vendu!M42,"AAAAAGzn23c=")</f>
        <v>#VALUE!</v>
      </c>
      <c r="DQ9" t="e">
        <f>AND(Vendu!N42,"AAAAAGzn23g=")</f>
        <v>#VALUE!</v>
      </c>
      <c r="DR9" t="e">
        <f>AND(Vendu!O42,"AAAAAGzn23k=")</f>
        <v>#VALUE!</v>
      </c>
      <c r="DS9" t="e">
        <f>AND(Vendu!P42,"AAAAAGzn23o=")</f>
        <v>#VALUE!</v>
      </c>
      <c r="DT9" t="e">
        <f>AND(Vendu!Q42,"AAAAAGzn23s=")</f>
        <v>#VALUE!</v>
      </c>
      <c r="DU9" t="e">
        <f>AND(Vendu!R42,"AAAAAGzn23w=")</f>
        <v>#VALUE!</v>
      </c>
      <c r="DV9" t="e">
        <f>AND(Vendu!S42,"AAAAAGzn230=")</f>
        <v>#VALUE!</v>
      </c>
      <c r="DW9" t="e">
        <f>AND(Vendu!T42,"AAAAAGzn234=")</f>
        <v>#VALUE!</v>
      </c>
      <c r="DX9" t="e">
        <f>AND(Vendu!U42,"AAAAAGzn238=")</f>
        <v>#VALUE!</v>
      </c>
      <c r="DY9" t="e">
        <f>AND(Vendu!V42,"AAAAAGzn24A=")</f>
        <v>#VALUE!</v>
      </c>
      <c r="DZ9" t="e">
        <f>AND(Vendu!W42,"AAAAAGzn24E=")</f>
        <v>#VALUE!</v>
      </c>
      <c r="EA9" t="e">
        <f>AND(Vendu!X42,"AAAAAGzn24I=")</f>
        <v>#VALUE!</v>
      </c>
      <c r="EB9" t="e">
        <f>AND(Vendu!Y42,"AAAAAGzn24M=")</f>
        <v>#VALUE!</v>
      </c>
      <c r="EC9">
        <f>IF(Vendu!45:45,"AAAAAGzn24Q=",0)</f>
        <v>0</v>
      </c>
      <c r="ED9" t="e">
        <f>AND(Vendu!A45,"AAAAAGzn24U=")</f>
        <v>#VALUE!</v>
      </c>
      <c r="EE9" t="e">
        <f>AND(Vendu!B45,"AAAAAGzn24Y=")</f>
        <v>#VALUE!</v>
      </c>
      <c r="EF9" t="e">
        <f>AND(Vendu!C45,"AAAAAGzn24c=")</f>
        <v>#VALUE!</v>
      </c>
      <c r="EG9" t="e">
        <f>AND(Vendu!D45,"AAAAAGzn24g=")</f>
        <v>#VALUE!</v>
      </c>
      <c r="EH9" t="e">
        <f>AND(Vendu!E45,"AAAAAGzn24k=")</f>
        <v>#VALUE!</v>
      </c>
      <c r="EI9" t="e">
        <f>AND(Vendu!F45,"AAAAAGzn24o=")</f>
        <v>#VALUE!</v>
      </c>
      <c r="EJ9" t="e">
        <f>AND(Vendu!G45,"AAAAAGzn24s=")</f>
        <v>#VALUE!</v>
      </c>
      <c r="EK9" t="e">
        <f>AND(Vendu!H45,"AAAAAGzn24w=")</f>
        <v>#VALUE!</v>
      </c>
      <c r="EL9" t="e">
        <f>AND(Vendu!I45,"AAAAAGzn240=")</f>
        <v>#VALUE!</v>
      </c>
      <c r="EM9" t="e">
        <f>AND(Vendu!J45,"AAAAAGzn244=")</f>
        <v>#VALUE!</v>
      </c>
      <c r="EN9" t="e">
        <f>AND(Vendu!K45,"AAAAAGzn248=")</f>
        <v>#VALUE!</v>
      </c>
      <c r="EO9" t="e">
        <f>AND(Vendu!L45,"AAAAAGzn25A=")</f>
        <v>#VALUE!</v>
      </c>
      <c r="EP9" t="e">
        <f>AND(Vendu!M45,"AAAAAGzn25E=")</f>
        <v>#VALUE!</v>
      </c>
      <c r="EQ9" t="e">
        <f>AND(Vendu!N45,"AAAAAGzn25I=")</f>
        <v>#VALUE!</v>
      </c>
      <c r="ER9" t="e">
        <f>AND(Vendu!O45,"AAAAAGzn25M=")</f>
        <v>#VALUE!</v>
      </c>
      <c r="ES9" t="e">
        <f>AND(Vendu!P45,"AAAAAGzn25Q=")</f>
        <v>#VALUE!</v>
      </c>
      <c r="ET9" t="e">
        <f>AND(Vendu!Q45,"AAAAAGzn25U=")</f>
        <v>#VALUE!</v>
      </c>
      <c r="EU9" t="e">
        <f>AND(Vendu!R45,"AAAAAGzn25Y=")</f>
        <v>#VALUE!</v>
      </c>
      <c r="EV9" t="e">
        <f>AND(Vendu!S45,"AAAAAGzn25c=")</f>
        <v>#VALUE!</v>
      </c>
      <c r="EW9" t="e">
        <f>AND(Vendu!T45,"AAAAAGzn25g=")</f>
        <v>#VALUE!</v>
      </c>
      <c r="EX9" t="e">
        <f>AND(Vendu!U45,"AAAAAGzn25k=")</f>
        <v>#VALUE!</v>
      </c>
      <c r="EY9" t="e">
        <f>AND(Vendu!V45,"AAAAAGzn25o=")</f>
        <v>#VALUE!</v>
      </c>
      <c r="EZ9" t="e">
        <f>AND(Vendu!W45,"AAAAAGzn25s=")</f>
        <v>#VALUE!</v>
      </c>
      <c r="FA9" t="e">
        <f>AND(Vendu!X45,"AAAAAGzn25w=")</f>
        <v>#VALUE!</v>
      </c>
      <c r="FB9" t="e">
        <f>AND(Vendu!Y45,"AAAAAGzn250=")</f>
        <v>#VALUE!</v>
      </c>
      <c r="FC9">
        <f>IF(Vendu!48:48,"AAAAAGzn254=",0)</f>
        <v>0</v>
      </c>
      <c r="FD9" t="e">
        <f>AND(Vendu!A48,"AAAAAGzn258=")</f>
        <v>#VALUE!</v>
      </c>
      <c r="FE9" t="e">
        <f>AND(Vendu!B48,"AAAAAGzn26A=")</f>
        <v>#VALUE!</v>
      </c>
      <c r="FF9" t="e">
        <f>AND(Vendu!C48,"AAAAAGzn26E=")</f>
        <v>#VALUE!</v>
      </c>
      <c r="FG9" t="e">
        <f>AND(Vendu!D48,"AAAAAGzn26I=")</f>
        <v>#VALUE!</v>
      </c>
      <c r="FH9" t="e">
        <f>AND(Vendu!E48,"AAAAAGzn26M=")</f>
        <v>#VALUE!</v>
      </c>
      <c r="FI9" t="e">
        <f>AND(Vendu!F48,"AAAAAGzn26Q=")</f>
        <v>#VALUE!</v>
      </c>
      <c r="FJ9" t="e">
        <f>AND(Vendu!G48,"AAAAAGzn26U=")</f>
        <v>#VALUE!</v>
      </c>
      <c r="FK9" t="e">
        <f>AND(Vendu!H48,"AAAAAGzn26Y=")</f>
        <v>#VALUE!</v>
      </c>
      <c r="FL9" t="e">
        <f>AND(Vendu!I48,"AAAAAGzn26c=")</f>
        <v>#VALUE!</v>
      </c>
      <c r="FM9" t="e">
        <f>AND(Vendu!J48,"AAAAAGzn26g=")</f>
        <v>#VALUE!</v>
      </c>
      <c r="FN9" t="e">
        <f>AND(Vendu!K48,"AAAAAGzn26k=")</f>
        <v>#VALUE!</v>
      </c>
      <c r="FO9" t="e">
        <f>AND(Vendu!L48,"AAAAAGzn26o=")</f>
        <v>#VALUE!</v>
      </c>
      <c r="FP9" t="e">
        <f>AND(Vendu!M48,"AAAAAGzn26s=")</f>
        <v>#VALUE!</v>
      </c>
      <c r="FQ9" t="e">
        <f>AND(Vendu!N48,"AAAAAGzn26w=")</f>
        <v>#VALUE!</v>
      </c>
      <c r="FR9" t="e">
        <f>AND(Vendu!O48,"AAAAAGzn260=")</f>
        <v>#VALUE!</v>
      </c>
      <c r="FS9" t="e">
        <f>AND(Vendu!P48,"AAAAAGzn264=")</f>
        <v>#VALUE!</v>
      </c>
      <c r="FT9" t="e">
        <f>AND(Vendu!Q48,"AAAAAGzn268=")</f>
        <v>#VALUE!</v>
      </c>
      <c r="FU9" t="e">
        <f>AND(Vendu!R48,"AAAAAGzn27A=")</f>
        <v>#VALUE!</v>
      </c>
      <c r="FV9" t="e">
        <f>AND(Vendu!S48,"AAAAAGzn27E=")</f>
        <v>#VALUE!</v>
      </c>
      <c r="FW9" t="e">
        <f>AND(Vendu!T48,"AAAAAGzn27I=")</f>
        <v>#VALUE!</v>
      </c>
      <c r="FX9" t="e">
        <f>AND(Vendu!U48,"AAAAAGzn27M=")</f>
        <v>#VALUE!</v>
      </c>
      <c r="FY9" t="e">
        <f>AND(Vendu!V48,"AAAAAGzn27Q=")</f>
        <v>#VALUE!</v>
      </c>
      <c r="FZ9" t="e">
        <f>AND(Vendu!W48,"AAAAAGzn27U=")</f>
        <v>#VALUE!</v>
      </c>
      <c r="GA9" t="e">
        <f>AND(Vendu!X48,"AAAAAGzn27Y=")</f>
        <v>#VALUE!</v>
      </c>
      <c r="GB9" t="e">
        <f>AND(Vendu!Y48,"AAAAAGzn27c=")</f>
        <v>#VALUE!</v>
      </c>
      <c r="GC9">
        <f>IF(Vendu!51:51,"AAAAAGzn27g=",0)</f>
        <v>0</v>
      </c>
      <c r="GD9" t="e">
        <f>AND(Vendu!A51,"AAAAAGzn27k=")</f>
        <v>#VALUE!</v>
      </c>
      <c r="GE9" t="e">
        <f>AND(Vendu!B51,"AAAAAGzn27o=")</f>
        <v>#VALUE!</v>
      </c>
      <c r="GF9" t="e">
        <f>AND(Vendu!C51,"AAAAAGzn27s=")</f>
        <v>#VALUE!</v>
      </c>
      <c r="GG9" t="e">
        <f>AND(Vendu!D51,"AAAAAGzn27w=")</f>
        <v>#VALUE!</v>
      </c>
      <c r="GH9" t="e">
        <f>AND(Vendu!E51,"AAAAAGzn270=")</f>
        <v>#VALUE!</v>
      </c>
      <c r="GI9" t="e">
        <f>AND(Vendu!F51,"AAAAAGzn274=")</f>
        <v>#VALUE!</v>
      </c>
      <c r="GJ9" t="e">
        <f>AND(Vendu!G51,"AAAAAGzn278=")</f>
        <v>#VALUE!</v>
      </c>
      <c r="GK9" t="e">
        <f>AND(Vendu!H51,"AAAAAGzn28A=")</f>
        <v>#VALUE!</v>
      </c>
      <c r="GL9" t="e">
        <f>AND(Vendu!I51,"AAAAAGzn28E=")</f>
        <v>#VALUE!</v>
      </c>
      <c r="GM9" t="e">
        <f>AND(Vendu!J51,"AAAAAGzn28I=")</f>
        <v>#VALUE!</v>
      </c>
      <c r="GN9" t="e">
        <f>AND(Vendu!K51,"AAAAAGzn28M=")</f>
        <v>#VALUE!</v>
      </c>
      <c r="GO9" t="e">
        <f>AND(Vendu!L51,"AAAAAGzn28Q=")</f>
        <v>#VALUE!</v>
      </c>
      <c r="GP9" t="e">
        <f>AND(Vendu!M51,"AAAAAGzn28U=")</f>
        <v>#VALUE!</v>
      </c>
      <c r="GQ9" t="e">
        <f>AND(Vendu!N51,"AAAAAGzn28Y=")</f>
        <v>#VALUE!</v>
      </c>
      <c r="GR9" t="e">
        <f>AND(Vendu!O51,"AAAAAGzn28c=")</f>
        <v>#VALUE!</v>
      </c>
      <c r="GS9" t="e">
        <f>AND(Vendu!P51,"AAAAAGzn28g=")</f>
        <v>#VALUE!</v>
      </c>
      <c r="GT9" t="e">
        <f>AND(Vendu!Q51,"AAAAAGzn28k=")</f>
        <v>#VALUE!</v>
      </c>
      <c r="GU9" t="e">
        <f>AND(Vendu!R51,"AAAAAGzn28o=")</f>
        <v>#VALUE!</v>
      </c>
      <c r="GV9" t="e">
        <f>AND(Vendu!S51,"AAAAAGzn28s=")</f>
        <v>#VALUE!</v>
      </c>
      <c r="GW9" t="e">
        <f>AND(Vendu!T51,"AAAAAGzn28w=")</f>
        <v>#VALUE!</v>
      </c>
      <c r="GX9" t="e">
        <f>AND(Vendu!U51,"AAAAAGzn280=")</f>
        <v>#VALUE!</v>
      </c>
      <c r="GY9" t="e">
        <f>AND(Vendu!V51,"AAAAAGzn284=")</f>
        <v>#VALUE!</v>
      </c>
      <c r="GZ9" t="e">
        <f>AND(Vendu!W51,"AAAAAGzn288=")</f>
        <v>#VALUE!</v>
      </c>
      <c r="HA9" t="e">
        <f>AND(Vendu!X51,"AAAAAGzn29A=")</f>
        <v>#VALUE!</v>
      </c>
      <c r="HB9" t="e">
        <f>AND(Vendu!Y51,"AAAAAGzn29E=")</f>
        <v>#VALUE!</v>
      </c>
      <c r="HC9">
        <f>IF(Vendu!54:54,"AAAAAGzn29I=",0)</f>
        <v>0</v>
      </c>
      <c r="HD9" t="e">
        <f>AND(Vendu!A54,"AAAAAGzn29M=")</f>
        <v>#VALUE!</v>
      </c>
      <c r="HE9" t="e">
        <f>AND(Vendu!B54,"AAAAAGzn29Q=")</f>
        <v>#VALUE!</v>
      </c>
      <c r="HF9" t="e">
        <f>AND(Vendu!C54,"AAAAAGzn29U=")</f>
        <v>#VALUE!</v>
      </c>
      <c r="HG9" t="e">
        <f>AND(Vendu!D54,"AAAAAGzn29Y=")</f>
        <v>#VALUE!</v>
      </c>
      <c r="HH9" t="e">
        <f>AND(Vendu!E54,"AAAAAGzn29c=")</f>
        <v>#VALUE!</v>
      </c>
      <c r="HI9" t="e">
        <f>AND(Vendu!F55,"AAAAAGzn29g=")</f>
        <v>#VALUE!</v>
      </c>
      <c r="HJ9" t="e">
        <f>AND(Vendu!G55,"AAAAAGzn29k=")</f>
        <v>#VALUE!</v>
      </c>
      <c r="HK9" t="e">
        <f>AND(Vendu!H55,"AAAAAGzn29o=")</f>
        <v>#VALUE!</v>
      </c>
      <c r="HL9" t="e">
        <f>AND(Vendu!I55,"AAAAAGzn29s=")</f>
        <v>#VALUE!</v>
      </c>
      <c r="HM9" t="e">
        <f>AND(Vendu!J55,"AAAAAGzn29w=")</f>
        <v>#VALUE!</v>
      </c>
      <c r="HN9" t="e">
        <f>AND(Vendu!K55,"AAAAAGzn290=")</f>
        <v>#VALUE!</v>
      </c>
      <c r="HO9" t="e">
        <f>AND(Vendu!L55,"AAAAAGzn294=")</f>
        <v>#VALUE!</v>
      </c>
      <c r="HP9" t="e">
        <f>AND(Vendu!M55,"AAAAAGzn298=")</f>
        <v>#VALUE!</v>
      </c>
      <c r="HQ9" t="e">
        <f>AND(Vendu!N55,"AAAAAGzn2+A=")</f>
        <v>#VALUE!</v>
      </c>
      <c r="HR9" t="e">
        <f>AND(Vendu!O55,"AAAAAGzn2+E=")</f>
        <v>#VALUE!</v>
      </c>
      <c r="HS9" t="e">
        <f>AND(Vendu!P55,"AAAAAGzn2+I=")</f>
        <v>#VALUE!</v>
      </c>
      <c r="HT9" t="e">
        <f>AND(Vendu!Q55,"AAAAAGzn2+M=")</f>
        <v>#VALUE!</v>
      </c>
      <c r="HU9" t="e">
        <f>AND(Vendu!R55,"AAAAAGzn2+Q=")</f>
        <v>#VALUE!</v>
      </c>
      <c r="HV9" t="e">
        <f>AND(Vendu!S55,"AAAAAGzn2+U=")</f>
        <v>#VALUE!</v>
      </c>
      <c r="HW9" t="e">
        <f>AND(Vendu!T55,"AAAAAGzn2+Y=")</f>
        <v>#VALUE!</v>
      </c>
      <c r="HX9" t="e">
        <f>AND(Vendu!U55,"AAAAAGzn2+c=")</f>
        <v>#VALUE!</v>
      </c>
      <c r="HY9" t="e">
        <f>AND(Vendu!V55,"AAAAAGzn2+g=")</f>
        <v>#VALUE!</v>
      </c>
      <c r="HZ9" t="e">
        <f>AND(Vendu!W54,"AAAAAGzn2+k=")</f>
        <v>#VALUE!</v>
      </c>
      <c r="IA9" t="e">
        <f>AND(Vendu!X54,"AAAAAGzn2+o=")</f>
        <v>#VALUE!</v>
      </c>
      <c r="IB9" t="e">
        <f>AND(Vendu!Y54,"AAAAAGzn2+s=")</f>
        <v>#VALUE!</v>
      </c>
      <c r="IC9">
        <f>IF(Vendu!60:60,"AAAAAGzn2+w=",0)</f>
        <v>0</v>
      </c>
      <c r="ID9" t="e">
        <f>AND(Vendu!A60,"AAAAAGzn2+0=")</f>
        <v>#VALUE!</v>
      </c>
      <c r="IE9" t="e">
        <f>AND(Vendu!B60,"AAAAAGzn2+4=")</f>
        <v>#VALUE!</v>
      </c>
      <c r="IF9" t="e">
        <f>AND(Vendu!C60,"AAAAAGzn2+8=")</f>
        <v>#VALUE!</v>
      </c>
      <c r="IG9" t="e">
        <f>AND(Vendu!D60,"AAAAAGzn2/A=")</f>
        <v>#VALUE!</v>
      </c>
      <c r="IH9" t="e">
        <f>AND(Vendu!E60,"AAAAAGzn2/E=")</f>
        <v>#VALUE!</v>
      </c>
      <c r="II9" t="e">
        <f>AND(Vendu!F60,"AAAAAGzn2/I=")</f>
        <v>#VALUE!</v>
      </c>
      <c r="IJ9" t="e">
        <f>AND(Vendu!G60,"AAAAAGzn2/M=")</f>
        <v>#VALUE!</v>
      </c>
      <c r="IK9" t="e">
        <f>AND(Vendu!H60,"AAAAAGzn2/Q=")</f>
        <v>#VALUE!</v>
      </c>
      <c r="IL9" t="e">
        <f>AND(Vendu!I60,"AAAAAGzn2/U=")</f>
        <v>#VALUE!</v>
      </c>
      <c r="IM9" t="e">
        <f>AND(Vendu!J60,"AAAAAGzn2/Y=")</f>
        <v>#VALUE!</v>
      </c>
      <c r="IN9" t="e">
        <f>AND(Vendu!K60,"AAAAAGzn2/c=")</f>
        <v>#VALUE!</v>
      </c>
      <c r="IO9" t="e">
        <f>AND(Vendu!L60,"AAAAAGzn2/g=")</f>
        <v>#VALUE!</v>
      </c>
      <c r="IP9" t="e">
        <f>AND(Vendu!M60,"AAAAAGzn2/k=")</f>
        <v>#VALUE!</v>
      </c>
      <c r="IQ9" t="e">
        <f>AND(Vendu!N60,"AAAAAGzn2/o=")</f>
        <v>#VALUE!</v>
      </c>
      <c r="IR9" t="e">
        <f>AND(Vendu!O60,"AAAAAGzn2/s=")</f>
        <v>#VALUE!</v>
      </c>
      <c r="IS9" t="e">
        <f>AND(Vendu!P60,"AAAAAGzn2/w=")</f>
        <v>#VALUE!</v>
      </c>
      <c r="IT9" t="e">
        <f>AND(Vendu!Q60,"AAAAAGzn2/0=")</f>
        <v>#VALUE!</v>
      </c>
      <c r="IU9" t="e">
        <f>AND(Vendu!R60,"AAAAAGzn2/4=")</f>
        <v>#VALUE!</v>
      </c>
      <c r="IV9" t="e">
        <f>AND(Vendu!S60,"AAAAAGzn2/8=")</f>
        <v>#VALUE!</v>
      </c>
    </row>
    <row r="10" spans="1:256" ht="12.75">
      <c r="A10" t="e">
        <f>AND(Vendu!T60,"AAAAADz96wA=")</f>
        <v>#VALUE!</v>
      </c>
      <c r="B10" t="e">
        <f>AND(Vendu!U60,"AAAAADz96wE=")</f>
        <v>#VALUE!</v>
      </c>
      <c r="C10" t="e">
        <f>AND(Vendu!V60,"AAAAADz96wI=")</f>
        <v>#VALUE!</v>
      </c>
      <c r="D10" t="e">
        <f>AND(Vendu!W60,"AAAAADz96wM=")</f>
        <v>#VALUE!</v>
      </c>
      <c r="E10" t="e">
        <f>AND(Vendu!X60,"AAAAADz96wQ=")</f>
        <v>#VALUE!</v>
      </c>
      <c r="F10" t="e">
        <f>AND(Vendu!Y60,"AAAAADz96wU=")</f>
        <v>#VALUE!</v>
      </c>
      <c r="G10" t="str">
        <f>IF(Vendu!64:64,"AAAAADz96wY=",0)</f>
        <v>AAAAADz96wY=</v>
      </c>
      <c r="H10" t="e">
        <f>AND(Vendu!A64,"AAAAADz96wc=")</f>
        <v>#VALUE!</v>
      </c>
      <c r="I10" t="e">
        <f>AND(Vendu!B64,"AAAAADz96wg=")</f>
        <v>#VALUE!</v>
      </c>
      <c r="J10" t="e">
        <f>AND(Vendu!C64,"AAAAADz96wk=")</f>
        <v>#VALUE!</v>
      </c>
      <c r="K10" t="e">
        <f>AND(Vendu!D64,"AAAAADz96wo=")</f>
        <v>#VALUE!</v>
      </c>
      <c r="L10" t="e">
        <f>AND(Vendu!E64,"AAAAADz96ws=")</f>
        <v>#VALUE!</v>
      </c>
      <c r="M10" t="e">
        <f>AND(Vendu!F65,"AAAAADz96ww=")</f>
        <v>#VALUE!</v>
      </c>
      <c r="N10" t="e">
        <f>AND(Vendu!G65,"AAAAADz96w0=")</f>
        <v>#VALUE!</v>
      </c>
      <c r="O10" t="e">
        <f>AND(Vendu!H65,"AAAAADz96w4=")</f>
        <v>#VALUE!</v>
      </c>
      <c r="P10" t="e">
        <f>AND(Vendu!I65,"AAAAADz96w8=")</f>
        <v>#VALUE!</v>
      </c>
      <c r="Q10" t="e">
        <f>AND(Vendu!J65,"AAAAADz96xA=")</f>
        <v>#VALUE!</v>
      </c>
      <c r="R10" t="e">
        <f>AND(Vendu!K65,"AAAAADz96xE=")</f>
        <v>#VALUE!</v>
      </c>
      <c r="S10" t="e">
        <f>AND(Vendu!L65,"AAAAADz96xI=")</f>
        <v>#VALUE!</v>
      </c>
      <c r="T10" t="e">
        <f>AND(Vendu!M65,"AAAAADz96xM=")</f>
        <v>#VALUE!</v>
      </c>
      <c r="U10" t="e">
        <f>AND(Vendu!N65,"AAAAADz96xQ=")</f>
        <v>#VALUE!</v>
      </c>
      <c r="V10" t="e">
        <f>AND(Vendu!O65,"AAAAADz96xU=")</f>
        <v>#VALUE!</v>
      </c>
      <c r="W10" t="e">
        <f>AND(Vendu!P65,"AAAAADz96xY=")</f>
        <v>#VALUE!</v>
      </c>
      <c r="X10" t="e">
        <f>AND(Vendu!Q65,"AAAAADz96xc=")</f>
        <v>#VALUE!</v>
      </c>
      <c r="Y10" t="e">
        <f>AND(Vendu!R65,"AAAAADz96xg=")</f>
        <v>#VALUE!</v>
      </c>
      <c r="Z10" t="e">
        <f>AND(Vendu!S65,"AAAAADz96xk=")</f>
        <v>#VALUE!</v>
      </c>
      <c r="AA10" t="e">
        <f>AND(Vendu!T65,"AAAAADz96xo=")</f>
        <v>#VALUE!</v>
      </c>
      <c r="AB10" t="e">
        <f>AND(Vendu!U65,"AAAAADz96xs=")</f>
        <v>#VALUE!</v>
      </c>
      <c r="AC10" t="e">
        <f>AND(Vendu!V65,"AAAAADz96xw=")</f>
        <v>#VALUE!</v>
      </c>
      <c r="AD10" t="e">
        <f>AND(Vendu!W64,"AAAAADz96x0=")</f>
        <v>#VALUE!</v>
      </c>
      <c r="AE10" t="e">
        <f>AND(Vendu!X64,"AAAAADz96x4=")</f>
        <v>#VALUE!</v>
      </c>
      <c r="AF10" t="e">
        <f>AND(Vendu!Y64,"AAAAADz96x8=")</f>
        <v>#VALUE!</v>
      </c>
      <c r="AG10">
        <f>IF(Vendu!67:67,"AAAAADz96yA=",0)</f>
        <v>0</v>
      </c>
      <c r="AH10" t="e">
        <f>AND(Vendu!A67,"AAAAADz96yE=")</f>
        <v>#VALUE!</v>
      </c>
      <c r="AI10" t="e">
        <f>AND(Vendu!B67,"AAAAADz96yI=")</f>
        <v>#VALUE!</v>
      </c>
      <c r="AJ10" t="e">
        <f>AND(Vendu!C67,"AAAAADz96yM=")</f>
        <v>#VALUE!</v>
      </c>
      <c r="AK10" t="e">
        <f>AND(Vendu!D67,"AAAAADz96yQ=")</f>
        <v>#VALUE!</v>
      </c>
      <c r="AL10" t="e">
        <f>AND(Vendu!E67,"AAAAADz96yU=")</f>
        <v>#VALUE!</v>
      </c>
      <c r="AM10" t="e">
        <f>AND(Vendu!F68,"AAAAADz96yY=")</f>
        <v>#VALUE!</v>
      </c>
      <c r="AN10" t="e">
        <f>AND(Vendu!G68,"AAAAADz96yc=")</f>
        <v>#VALUE!</v>
      </c>
      <c r="AO10" t="e">
        <f>AND(Vendu!H68,"AAAAADz96yg=")</f>
        <v>#VALUE!</v>
      </c>
      <c r="AP10" t="e">
        <f>AND(Vendu!I68,"AAAAADz96yk=")</f>
        <v>#VALUE!</v>
      </c>
      <c r="AQ10" t="e">
        <f>AND(Vendu!J68,"AAAAADz96yo=")</f>
        <v>#VALUE!</v>
      </c>
      <c r="AR10" t="e">
        <f>AND(Vendu!K68,"AAAAADz96ys=")</f>
        <v>#VALUE!</v>
      </c>
      <c r="AS10" t="e">
        <f>AND(Vendu!L68,"AAAAADz96yw=")</f>
        <v>#VALUE!</v>
      </c>
      <c r="AT10" t="e">
        <f>AND(Vendu!M68,"AAAAADz96y0=")</f>
        <v>#VALUE!</v>
      </c>
      <c r="AU10" t="e">
        <f>AND(Vendu!N68,"AAAAADz96y4=")</f>
        <v>#VALUE!</v>
      </c>
      <c r="AV10" t="e">
        <f>AND(Vendu!O68,"AAAAADz96y8=")</f>
        <v>#VALUE!</v>
      </c>
      <c r="AW10" t="e">
        <f>AND(Vendu!P68,"AAAAADz96zA=")</f>
        <v>#VALUE!</v>
      </c>
      <c r="AX10" t="e">
        <f>AND(Vendu!Q68,"AAAAADz96zE=")</f>
        <v>#VALUE!</v>
      </c>
      <c r="AY10" t="e">
        <f>AND(Vendu!R68,"AAAAADz96zI=")</f>
        <v>#VALUE!</v>
      </c>
      <c r="AZ10" t="e">
        <f>AND(Vendu!S68,"AAAAADz96zM=")</f>
        <v>#VALUE!</v>
      </c>
      <c r="BA10" t="e">
        <f>AND(Vendu!T68,"AAAAADz96zQ=")</f>
        <v>#VALUE!</v>
      </c>
      <c r="BB10" t="e">
        <f>AND(Vendu!U68,"AAAAADz96zU=")</f>
        <v>#VALUE!</v>
      </c>
      <c r="BC10" t="e">
        <f>AND(Vendu!V68,"AAAAADz96zY=")</f>
        <v>#VALUE!</v>
      </c>
      <c r="BD10" t="e">
        <f>AND(Vendu!W67,"AAAAADz96zc=")</f>
        <v>#VALUE!</v>
      </c>
      <c r="BE10" t="e">
        <f>AND(Vendu!X67,"AAAAADz96zg=")</f>
        <v>#VALUE!</v>
      </c>
      <c r="BF10" t="e">
        <f>AND(Vendu!Y67,"AAAAADz96zk=")</f>
        <v>#VALUE!</v>
      </c>
      <c r="BG10" t="e">
        <f>IF(Vendu!#REF!,"AAAAADz96zo=",0)</f>
        <v>#REF!</v>
      </c>
      <c r="BH10" t="e">
        <f>AND(Vendu!#REF!,"AAAAADz96zs=")</f>
        <v>#REF!</v>
      </c>
      <c r="BI10" t="e">
        <f>AND(Vendu!#REF!,"AAAAADz96zw=")</f>
        <v>#REF!</v>
      </c>
      <c r="BJ10" t="e">
        <f>AND(Vendu!#REF!,"AAAAADz96z0=")</f>
        <v>#REF!</v>
      </c>
      <c r="BK10" t="e">
        <f>AND(Vendu!#REF!,"AAAAADz96z4=")</f>
        <v>#REF!</v>
      </c>
      <c r="BL10" t="e">
        <f>AND(Vendu!#REF!,"AAAAADz96z8=")</f>
        <v>#REF!</v>
      </c>
      <c r="BM10" t="e">
        <f>AND(Vendu!#REF!,"AAAAADz960A=")</f>
        <v>#REF!</v>
      </c>
      <c r="BN10" t="e">
        <f>AND(Vendu!#REF!,"AAAAADz960E=")</f>
        <v>#REF!</v>
      </c>
      <c r="BO10" t="e">
        <f>AND(Vendu!#REF!,"AAAAADz960I=")</f>
        <v>#REF!</v>
      </c>
      <c r="BP10" t="e">
        <f>AND(Vendu!#REF!,"AAAAADz960M=")</f>
        <v>#REF!</v>
      </c>
      <c r="BQ10" t="e">
        <f>AND(Vendu!#REF!,"AAAAADz960Q=")</f>
        <v>#REF!</v>
      </c>
      <c r="BR10" t="e">
        <f>AND(Vendu!#REF!,"AAAAADz960U=")</f>
        <v>#REF!</v>
      </c>
      <c r="BS10" t="e">
        <f>AND(Vendu!#REF!,"AAAAADz960Y=")</f>
        <v>#REF!</v>
      </c>
      <c r="BT10" t="e">
        <f>AND(Vendu!#REF!,"AAAAADz960c=")</f>
        <v>#REF!</v>
      </c>
      <c r="BU10" t="e">
        <f>AND(Vendu!#REF!,"AAAAADz960g=")</f>
        <v>#REF!</v>
      </c>
      <c r="BV10" t="e">
        <f>AND(Vendu!#REF!,"AAAAADz960k=")</f>
        <v>#REF!</v>
      </c>
      <c r="BW10" t="e">
        <f>AND(Vendu!#REF!,"AAAAADz960o=")</f>
        <v>#REF!</v>
      </c>
      <c r="BX10" t="e">
        <f>AND(Vendu!#REF!,"AAAAADz960s=")</f>
        <v>#REF!</v>
      </c>
      <c r="BY10" t="e">
        <f>AND(Vendu!#REF!,"AAAAADz960w=")</f>
        <v>#REF!</v>
      </c>
      <c r="BZ10" t="e">
        <f>AND(Vendu!#REF!,"AAAAADz9600=")</f>
        <v>#REF!</v>
      </c>
      <c r="CA10" t="e">
        <f>AND(Vendu!#REF!,"AAAAADz9604=")</f>
        <v>#REF!</v>
      </c>
      <c r="CB10" t="e">
        <f>AND(Vendu!#REF!,"AAAAADz9608=")</f>
        <v>#REF!</v>
      </c>
      <c r="CC10" t="e">
        <f>AND(Vendu!#REF!,"AAAAADz961A=")</f>
        <v>#REF!</v>
      </c>
      <c r="CD10" t="e">
        <f>AND(Vendu!#REF!,"AAAAADz961E=")</f>
        <v>#REF!</v>
      </c>
      <c r="CE10" t="e">
        <f>AND(Vendu!#REF!,"AAAAADz961I=")</f>
        <v>#REF!</v>
      </c>
      <c r="CF10" t="e">
        <f>AND(Vendu!#REF!,"AAAAADz961M=")</f>
        <v>#REF!</v>
      </c>
      <c r="CG10" t="e">
        <f>IF(Vendu!#REF!,"AAAAADz961Q=",0)</f>
        <v>#REF!</v>
      </c>
      <c r="CH10" t="e">
        <f>AND(Vendu!#REF!,"AAAAADz961U=")</f>
        <v>#REF!</v>
      </c>
      <c r="CI10" t="e">
        <f>AND(Vendu!#REF!,"AAAAADz961Y=")</f>
        <v>#REF!</v>
      </c>
      <c r="CJ10" t="e">
        <f>AND(Vendu!#REF!,"AAAAADz961c=")</f>
        <v>#REF!</v>
      </c>
      <c r="CK10" t="e">
        <f>AND(Vendu!#REF!,"AAAAADz961g=")</f>
        <v>#REF!</v>
      </c>
      <c r="CL10" t="e">
        <f>AND(Vendu!#REF!,"AAAAADz961k=")</f>
        <v>#REF!</v>
      </c>
      <c r="CM10" t="e">
        <f>AND(Vendu!#REF!,"AAAAADz961o=")</f>
        <v>#REF!</v>
      </c>
      <c r="CN10" t="e">
        <f>AND(Vendu!#REF!,"AAAAADz961s=")</f>
        <v>#REF!</v>
      </c>
      <c r="CO10" t="e">
        <f>AND(Vendu!#REF!,"AAAAADz961w=")</f>
        <v>#REF!</v>
      </c>
      <c r="CP10" t="e">
        <f>AND(Vendu!#REF!,"AAAAADz9610=")</f>
        <v>#REF!</v>
      </c>
      <c r="CQ10" t="e">
        <f>AND(Vendu!#REF!,"AAAAADz9614=")</f>
        <v>#REF!</v>
      </c>
      <c r="CR10" t="e">
        <f>AND(Vendu!#REF!,"AAAAADz9618=")</f>
        <v>#REF!</v>
      </c>
      <c r="CS10" t="e">
        <f>AND(Vendu!#REF!,"AAAAADz962A=")</f>
        <v>#REF!</v>
      </c>
      <c r="CT10" t="e">
        <f>AND(Vendu!#REF!,"AAAAADz962E=")</f>
        <v>#REF!</v>
      </c>
      <c r="CU10" t="e">
        <f>AND(Vendu!#REF!,"AAAAADz962I=")</f>
        <v>#REF!</v>
      </c>
      <c r="CV10" t="e">
        <f>AND(Vendu!#REF!,"AAAAADz962M=")</f>
        <v>#REF!</v>
      </c>
      <c r="CW10" t="e">
        <f>AND(Vendu!#REF!,"AAAAADz962Q=")</f>
        <v>#REF!</v>
      </c>
      <c r="CX10" t="e">
        <f>AND(Vendu!#REF!,"AAAAADz962U=")</f>
        <v>#REF!</v>
      </c>
      <c r="CY10" t="e">
        <f>AND(Vendu!#REF!,"AAAAADz962Y=")</f>
        <v>#REF!</v>
      </c>
      <c r="CZ10" t="e">
        <f>AND(Vendu!#REF!,"AAAAADz962c=")</f>
        <v>#REF!</v>
      </c>
      <c r="DA10" t="e">
        <f>AND(Vendu!#REF!,"AAAAADz962g=")</f>
        <v>#REF!</v>
      </c>
      <c r="DB10" t="e">
        <f>AND(Vendu!#REF!,"AAAAADz962k=")</f>
        <v>#REF!</v>
      </c>
      <c r="DC10" t="e">
        <f>AND(Vendu!#REF!,"AAAAADz962o=")</f>
        <v>#REF!</v>
      </c>
      <c r="DD10" t="e">
        <f>AND(Vendu!#REF!,"AAAAADz962s=")</f>
        <v>#REF!</v>
      </c>
      <c r="DE10" t="e">
        <f>AND(Vendu!#REF!,"AAAAADz962w=")</f>
        <v>#REF!</v>
      </c>
      <c r="DF10" t="e">
        <f>AND(Vendu!#REF!,"AAAAADz9620=")</f>
        <v>#REF!</v>
      </c>
      <c r="DG10" t="e">
        <f>IF(Vendu!#REF!,"AAAAADz9624=",0)</f>
        <v>#REF!</v>
      </c>
      <c r="DH10" t="e">
        <f>AND(Vendu!#REF!,"AAAAADz9628=")</f>
        <v>#REF!</v>
      </c>
      <c r="DI10" t="e">
        <f>AND(Vendu!#REF!,"AAAAADz963A=")</f>
        <v>#REF!</v>
      </c>
      <c r="DJ10" t="e">
        <f>AND(Vendu!#REF!,"AAAAADz963E=")</f>
        <v>#REF!</v>
      </c>
      <c r="DK10" t="e">
        <f>AND(Vendu!#REF!,"AAAAADz963I=")</f>
        <v>#REF!</v>
      </c>
      <c r="DL10" t="e">
        <f>AND(Vendu!#REF!,"AAAAADz963M=")</f>
        <v>#REF!</v>
      </c>
      <c r="DM10" t="e">
        <f>AND(Vendu!#REF!,"AAAAADz963Q=")</f>
        <v>#REF!</v>
      </c>
      <c r="DN10" t="e">
        <f>AND(Vendu!#REF!,"AAAAADz963U=")</f>
        <v>#REF!</v>
      </c>
      <c r="DO10" t="e">
        <f>AND(Vendu!#REF!,"AAAAADz963Y=")</f>
        <v>#REF!</v>
      </c>
      <c r="DP10" t="e">
        <f>AND(Vendu!#REF!,"AAAAADz963c=")</f>
        <v>#REF!</v>
      </c>
      <c r="DQ10" t="e">
        <f>AND(Vendu!#REF!,"AAAAADz963g=")</f>
        <v>#REF!</v>
      </c>
      <c r="DR10" t="e">
        <f>AND(Vendu!#REF!,"AAAAADz963k=")</f>
        <v>#REF!</v>
      </c>
      <c r="DS10" t="e">
        <f>AND(Vendu!#REF!,"AAAAADz963o=")</f>
        <v>#REF!</v>
      </c>
      <c r="DT10" t="e">
        <f>AND(Vendu!#REF!,"AAAAADz963s=")</f>
        <v>#REF!</v>
      </c>
      <c r="DU10" t="e">
        <f>AND(Vendu!#REF!,"AAAAADz963w=")</f>
        <v>#REF!</v>
      </c>
      <c r="DV10" t="e">
        <f>AND(Vendu!#REF!,"AAAAADz9630=")</f>
        <v>#REF!</v>
      </c>
      <c r="DW10" t="e">
        <f>AND(Vendu!#REF!,"AAAAADz9634=")</f>
        <v>#REF!</v>
      </c>
      <c r="DX10" t="e">
        <f>AND(Vendu!#REF!,"AAAAADz9638=")</f>
        <v>#REF!</v>
      </c>
      <c r="DY10" t="e">
        <f>AND(Vendu!#REF!,"AAAAADz964A=")</f>
        <v>#REF!</v>
      </c>
      <c r="DZ10" t="e">
        <f>AND(Vendu!#REF!,"AAAAADz964E=")</f>
        <v>#REF!</v>
      </c>
      <c r="EA10" t="e">
        <f>AND(Vendu!#REF!,"AAAAADz964I=")</f>
        <v>#REF!</v>
      </c>
      <c r="EB10" t="e">
        <f>AND(Vendu!#REF!,"AAAAADz964M=")</f>
        <v>#REF!</v>
      </c>
      <c r="EC10" t="e">
        <f>AND(Vendu!#REF!,"AAAAADz964Q=")</f>
        <v>#REF!</v>
      </c>
      <c r="ED10" t="e">
        <f>AND(Vendu!#REF!,"AAAAADz964U=")</f>
        <v>#REF!</v>
      </c>
      <c r="EE10" t="e">
        <f>AND(Vendu!#REF!,"AAAAADz964Y=")</f>
        <v>#REF!</v>
      </c>
      <c r="EF10" t="e">
        <f>AND(Vendu!#REF!,"AAAAADz964c=")</f>
        <v>#REF!</v>
      </c>
      <c r="EG10" t="e">
        <f>IF(Vendu!#REF!,"AAAAADz964g=",0)</f>
        <v>#REF!</v>
      </c>
      <c r="EH10" t="e">
        <f>AND(Vendu!#REF!,"AAAAADz964k=")</f>
        <v>#REF!</v>
      </c>
      <c r="EI10" t="e">
        <f>AND(Vendu!#REF!,"AAAAADz964o=")</f>
        <v>#REF!</v>
      </c>
      <c r="EJ10" t="e">
        <f>AND(Vendu!#REF!,"AAAAADz964s=")</f>
        <v>#REF!</v>
      </c>
      <c r="EK10" t="e">
        <f>AND(Vendu!#REF!,"AAAAADz964w=")</f>
        <v>#REF!</v>
      </c>
      <c r="EL10" t="e">
        <f>AND(Vendu!#REF!,"AAAAADz9640=")</f>
        <v>#REF!</v>
      </c>
      <c r="EM10" t="e">
        <f>AND(Vendu!#REF!,"AAAAADz9644=")</f>
        <v>#REF!</v>
      </c>
      <c r="EN10" t="e">
        <f>AND(Vendu!#REF!,"AAAAADz9648=")</f>
        <v>#REF!</v>
      </c>
      <c r="EO10" t="e">
        <f>AND(Vendu!#REF!,"AAAAADz965A=")</f>
        <v>#REF!</v>
      </c>
      <c r="EP10" t="e">
        <f>AND(Vendu!#REF!,"AAAAADz965E=")</f>
        <v>#REF!</v>
      </c>
      <c r="EQ10" t="e">
        <f>AND(Vendu!#REF!,"AAAAADz965I=")</f>
        <v>#REF!</v>
      </c>
      <c r="ER10" t="e">
        <f>AND(Vendu!#REF!,"AAAAADz965M=")</f>
        <v>#REF!</v>
      </c>
      <c r="ES10" t="e">
        <f>AND(Vendu!#REF!,"AAAAADz965Q=")</f>
        <v>#REF!</v>
      </c>
      <c r="ET10" t="e">
        <f>AND(Vendu!#REF!,"AAAAADz965U=")</f>
        <v>#REF!</v>
      </c>
      <c r="EU10" t="e">
        <f>AND(Vendu!#REF!,"AAAAADz965Y=")</f>
        <v>#REF!</v>
      </c>
      <c r="EV10" t="e">
        <f>AND(Vendu!#REF!,"AAAAADz965c=")</f>
        <v>#REF!</v>
      </c>
      <c r="EW10" t="e">
        <f>AND(Vendu!#REF!,"AAAAADz965g=")</f>
        <v>#REF!</v>
      </c>
      <c r="EX10" t="e">
        <f>AND(Vendu!#REF!,"AAAAADz965k=")</f>
        <v>#REF!</v>
      </c>
      <c r="EY10" t="e">
        <f>AND(Vendu!#REF!,"AAAAADz965o=")</f>
        <v>#REF!</v>
      </c>
      <c r="EZ10" t="e">
        <f>AND(Vendu!#REF!,"AAAAADz965s=")</f>
        <v>#REF!</v>
      </c>
      <c r="FA10" t="e">
        <f>AND(Vendu!#REF!,"AAAAADz965w=")</f>
        <v>#REF!</v>
      </c>
      <c r="FB10" t="e">
        <f>AND(Vendu!#REF!,"AAAAADz9650=")</f>
        <v>#REF!</v>
      </c>
      <c r="FC10" t="e">
        <f>AND(Vendu!#REF!,"AAAAADz9654=")</f>
        <v>#REF!</v>
      </c>
      <c r="FD10" t="e">
        <f>AND(Vendu!#REF!,"AAAAADz9658=")</f>
        <v>#REF!</v>
      </c>
      <c r="FE10" t="e">
        <f>AND(Vendu!#REF!,"AAAAADz966A=")</f>
        <v>#REF!</v>
      </c>
      <c r="FF10" t="e">
        <f>AND(Vendu!#REF!,"AAAAADz966E=")</f>
        <v>#REF!</v>
      </c>
      <c r="FG10" t="e">
        <f>IF(Vendu!#REF!,"AAAAADz966I=",0)</f>
        <v>#REF!</v>
      </c>
      <c r="FH10" t="e">
        <f>AND(Vendu!#REF!,"AAAAADz966M=")</f>
        <v>#REF!</v>
      </c>
      <c r="FI10" t="e">
        <f>AND(Vendu!#REF!,"AAAAADz966Q=")</f>
        <v>#REF!</v>
      </c>
      <c r="FJ10" t="e">
        <f>AND(Vendu!#REF!,"AAAAADz966U=")</f>
        <v>#REF!</v>
      </c>
      <c r="FK10" t="e">
        <f>AND(Vendu!#REF!,"AAAAADz966Y=")</f>
        <v>#REF!</v>
      </c>
      <c r="FL10" t="e">
        <f>AND(Vendu!#REF!,"AAAAADz966c=")</f>
        <v>#REF!</v>
      </c>
      <c r="FM10" t="e">
        <f>AND(Vendu!#REF!,"AAAAADz966g=")</f>
        <v>#REF!</v>
      </c>
      <c r="FN10" t="e">
        <f>AND(Vendu!#REF!,"AAAAADz966k=")</f>
        <v>#REF!</v>
      </c>
      <c r="FO10" t="e">
        <f>AND(Vendu!#REF!,"AAAAADz966o=")</f>
        <v>#REF!</v>
      </c>
      <c r="FP10" t="e">
        <f>AND(Vendu!#REF!,"AAAAADz966s=")</f>
        <v>#REF!</v>
      </c>
      <c r="FQ10" t="e">
        <f>AND(Vendu!#REF!,"AAAAADz966w=")</f>
        <v>#REF!</v>
      </c>
      <c r="FR10" t="e">
        <f>AND(Vendu!#REF!,"AAAAADz9660=")</f>
        <v>#REF!</v>
      </c>
      <c r="FS10" t="e">
        <f>AND(Vendu!#REF!,"AAAAADz9664=")</f>
        <v>#REF!</v>
      </c>
      <c r="FT10" t="e">
        <f>AND(Vendu!#REF!,"AAAAADz9668=")</f>
        <v>#REF!</v>
      </c>
      <c r="FU10" t="e">
        <f>AND(Vendu!#REF!,"AAAAADz967A=")</f>
        <v>#REF!</v>
      </c>
      <c r="FV10" t="e">
        <f>AND(Vendu!#REF!,"AAAAADz967E=")</f>
        <v>#REF!</v>
      </c>
      <c r="FW10" t="e">
        <f>AND(Vendu!#REF!,"AAAAADz967I=")</f>
        <v>#REF!</v>
      </c>
      <c r="FX10" t="e">
        <f>AND(Vendu!#REF!,"AAAAADz967M=")</f>
        <v>#REF!</v>
      </c>
      <c r="FY10" t="e">
        <f>AND(Vendu!#REF!,"AAAAADz967Q=")</f>
        <v>#REF!</v>
      </c>
      <c r="FZ10" t="e">
        <f>AND(Vendu!#REF!,"AAAAADz967U=")</f>
        <v>#REF!</v>
      </c>
      <c r="GA10" t="e">
        <f>AND(Vendu!#REF!,"AAAAADz967Y=")</f>
        <v>#REF!</v>
      </c>
      <c r="GB10" t="e">
        <f>AND(Vendu!#REF!,"AAAAADz967c=")</f>
        <v>#REF!</v>
      </c>
      <c r="GC10" t="e">
        <f>AND(Vendu!#REF!,"AAAAADz967g=")</f>
        <v>#REF!</v>
      </c>
      <c r="GD10" t="e">
        <f>AND(Vendu!#REF!,"AAAAADz967k=")</f>
        <v>#REF!</v>
      </c>
      <c r="GE10" t="e">
        <f>AND(Vendu!#REF!,"AAAAADz967o=")</f>
        <v>#REF!</v>
      </c>
      <c r="GF10" t="e">
        <f>AND(Vendu!#REF!,"AAAAADz967s=")</f>
        <v>#REF!</v>
      </c>
      <c r="GG10" t="e">
        <f>IF(Vendu!#REF!,"AAAAADz967w=",0)</f>
        <v>#REF!</v>
      </c>
      <c r="GH10" t="e">
        <f>AND(Vendu!#REF!,"AAAAADz9670=")</f>
        <v>#REF!</v>
      </c>
      <c r="GI10" t="e">
        <f>AND(Vendu!#REF!,"AAAAADz9674=")</f>
        <v>#REF!</v>
      </c>
      <c r="GJ10" t="e">
        <f>AND(Vendu!#REF!,"AAAAADz9678=")</f>
        <v>#REF!</v>
      </c>
      <c r="GK10" t="e">
        <f>AND(Vendu!#REF!,"AAAAADz968A=")</f>
        <v>#REF!</v>
      </c>
      <c r="GL10" t="e">
        <f>AND(Vendu!#REF!,"AAAAADz968E=")</f>
        <v>#REF!</v>
      </c>
      <c r="GM10" t="e">
        <f>AND(Vendu!#REF!,"AAAAADz968I=")</f>
        <v>#REF!</v>
      </c>
      <c r="GN10" t="e">
        <f>AND(Vendu!#REF!,"AAAAADz968M=")</f>
        <v>#REF!</v>
      </c>
      <c r="GO10" t="e">
        <f>AND(Vendu!#REF!,"AAAAADz968Q=")</f>
        <v>#REF!</v>
      </c>
      <c r="GP10" t="e">
        <f>AND(Vendu!#REF!,"AAAAADz968U=")</f>
        <v>#REF!</v>
      </c>
      <c r="GQ10" t="e">
        <f>AND(Vendu!#REF!,"AAAAADz968Y=")</f>
        <v>#REF!</v>
      </c>
      <c r="GR10" t="e">
        <f>AND(Vendu!#REF!,"AAAAADz968c=")</f>
        <v>#REF!</v>
      </c>
      <c r="GS10" t="e">
        <f>AND(Vendu!#REF!,"AAAAADz968g=")</f>
        <v>#REF!</v>
      </c>
      <c r="GT10" t="e">
        <f>AND(Vendu!#REF!,"AAAAADz968k=")</f>
        <v>#REF!</v>
      </c>
      <c r="GU10" t="e">
        <f>AND(Vendu!#REF!,"AAAAADz968o=")</f>
        <v>#REF!</v>
      </c>
      <c r="GV10" t="e">
        <f>AND(Vendu!#REF!,"AAAAADz968s=")</f>
        <v>#REF!</v>
      </c>
      <c r="GW10" t="e">
        <f>AND(Vendu!#REF!,"AAAAADz968w=")</f>
        <v>#REF!</v>
      </c>
      <c r="GX10" t="e">
        <f>AND(Vendu!#REF!,"AAAAADz9680=")</f>
        <v>#REF!</v>
      </c>
      <c r="GY10" t="e">
        <f>AND(Vendu!#REF!,"AAAAADz9684=")</f>
        <v>#REF!</v>
      </c>
      <c r="GZ10" t="e">
        <f>AND(Vendu!#REF!,"AAAAADz9688=")</f>
        <v>#REF!</v>
      </c>
      <c r="HA10" t="e">
        <f>AND(Vendu!#REF!,"AAAAADz969A=")</f>
        <v>#REF!</v>
      </c>
      <c r="HB10" t="e">
        <f>AND(Vendu!#REF!,"AAAAADz969E=")</f>
        <v>#REF!</v>
      </c>
      <c r="HC10" t="e">
        <f>AND(Vendu!#REF!,"AAAAADz969I=")</f>
        <v>#REF!</v>
      </c>
      <c r="HD10" t="e">
        <f>AND(Vendu!#REF!,"AAAAADz969M=")</f>
        <v>#REF!</v>
      </c>
      <c r="HE10" t="e">
        <f>AND(Vendu!#REF!,"AAAAADz969Q=")</f>
        <v>#REF!</v>
      </c>
      <c r="HF10" t="e">
        <f>AND(Vendu!#REF!,"AAAAADz969U=")</f>
        <v>#REF!</v>
      </c>
      <c r="HG10" t="e">
        <f>IF(Vendu!#REF!,"AAAAADz969Y=",0)</f>
        <v>#REF!</v>
      </c>
      <c r="HH10" t="e">
        <f>AND(Vendu!#REF!,"AAAAADz969c=")</f>
        <v>#REF!</v>
      </c>
      <c r="HI10" t="e">
        <f>AND(Vendu!#REF!,"AAAAADz969g=")</f>
        <v>#REF!</v>
      </c>
      <c r="HJ10" t="e">
        <f>AND(Vendu!#REF!,"AAAAADz969k=")</f>
        <v>#REF!</v>
      </c>
      <c r="HK10" t="e">
        <f>AND(Vendu!#REF!,"AAAAADz969o=")</f>
        <v>#REF!</v>
      </c>
      <c r="HL10" t="e">
        <f>AND(Vendu!#REF!,"AAAAADz969s=")</f>
        <v>#REF!</v>
      </c>
      <c r="HM10" t="e">
        <f>AND(Vendu!#REF!,"AAAAADz969w=")</f>
        <v>#REF!</v>
      </c>
      <c r="HN10" t="e">
        <f>AND(Vendu!#REF!,"AAAAADz9690=")</f>
        <v>#REF!</v>
      </c>
      <c r="HO10" t="e">
        <f>AND(Vendu!#REF!,"AAAAADz9694=")</f>
        <v>#REF!</v>
      </c>
      <c r="HP10" t="e">
        <f>AND(Vendu!#REF!,"AAAAADz9698=")</f>
        <v>#REF!</v>
      </c>
      <c r="HQ10" t="e">
        <f>AND(Vendu!#REF!,"AAAAADz96+A=")</f>
        <v>#REF!</v>
      </c>
      <c r="HR10" t="e">
        <f>AND(Vendu!#REF!,"AAAAADz96+E=")</f>
        <v>#REF!</v>
      </c>
      <c r="HS10" t="e">
        <f>AND(Vendu!#REF!,"AAAAADz96+I=")</f>
        <v>#REF!</v>
      </c>
      <c r="HT10" t="e">
        <f>AND(Vendu!#REF!,"AAAAADz96+M=")</f>
        <v>#REF!</v>
      </c>
      <c r="HU10" t="e">
        <f>AND(Vendu!#REF!,"AAAAADz96+Q=")</f>
        <v>#REF!</v>
      </c>
      <c r="HV10" t="e">
        <f>AND(Vendu!#REF!,"AAAAADz96+U=")</f>
        <v>#REF!</v>
      </c>
      <c r="HW10" t="e">
        <f>AND(Vendu!#REF!,"AAAAADz96+Y=")</f>
        <v>#REF!</v>
      </c>
      <c r="HX10" t="e">
        <f>AND(Vendu!#REF!,"AAAAADz96+c=")</f>
        <v>#REF!</v>
      </c>
      <c r="HY10" t="e">
        <f>AND(Vendu!#REF!,"AAAAADz96+g=")</f>
        <v>#REF!</v>
      </c>
      <c r="HZ10" t="e">
        <f>AND(Vendu!#REF!,"AAAAADz96+k=")</f>
        <v>#REF!</v>
      </c>
      <c r="IA10" t="e">
        <f>AND(Vendu!#REF!,"AAAAADz96+o=")</f>
        <v>#REF!</v>
      </c>
      <c r="IB10" t="e">
        <f>AND(Vendu!#REF!,"AAAAADz96+s=")</f>
        <v>#REF!</v>
      </c>
      <c r="IC10" t="e">
        <f>AND(Vendu!#REF!,"AAAAADz96+w=")</f>
        <v>#REF!</v>
      </c>
      <c r="ID10" t="e">
        <f>AND(Vendu!#REF!,"AAAAADz96+0=")</f>
        <v>#REF!</v>
      </c>
      <c r="IE10" t="e">
        <f>AND(Vendu!#REF!,"AAAAADz96+4=")</f>
        <v>#REF!</v>
      </c>
      <c r="IF10" t="e">
        <f>AND(Vendu!#REF!,"AAAAADz96+8=")</f>
        <v>#REF!</v>
      </c>
      <c r="IG10" t="e">
        <f>IF(Vendu!#REF!,"AAAAADz96/A=",0)</f>
        <v>#REF!</v>
      </c>
      <c r="IH10" t="e">
        <f>AND(Vendu!#REF!,"AAAAADz96/E=")</f>
        <v>#REF!</v>
      </c>
      <c r="II10" t="e">
        <f>AND(Vendu!#REF!,"AAAAADz96/I=")</f>
        <v>#REF!</v>
      </c>
      <c r="IJ10" t="e">
        <f>AND(Vendu!#REF!,"AAAAADz96/M=")</f>
        <v>#REF!</v>
      </c>
      <c r="IK10" t="e">
        <f>AND(Vendu!#REF!,"AAAAADz96/Q=")</f>
        <v>#REF!</v>
      </c>
      <c r="IL10" t="e">
        <f>AND(Vendu!#REF!,"AAAAADz96/U=")</f>
        <v>#REF!</v>
      </c>
      <c r="IM10" t="e">
        <f>AND(Vendu!#REF!,"AAAAADz96/Y=")</f>
        <v>#REF!</v>
      </c>
      <c r="IN10" t="e">
        <f>AND(Vendu!#REF!,"AAAAADz96/c=")</f>
        <v>#REF!</v>
      </c>
      <c r="IO10" t="e">
        <f>AND(Vendu!#REF!,"AAAAADz96/g=")</f>
        <v>#REF!</v>
      </c>
      <c r="IP10" t="e">
        <f>AND(Vendu!#REF!,"AAAAADz96/k=")</f>
        <v>#REF!</v>
      </c>
      <c r="IQ10" t="e">
        <f>AND(Vendu!#REF!,"AAAAADz96/o=")</f>
        <v>#REF!</v>
      </c>
      <c r="IR10" t="e">
        <f>AND(Vendu!#REF!,"AAAAADz96/s=")</f>
        <v>#REF!</v>
      </c>
      <c r="IS10" t="e">
        <f>AND(Vendu!#REF!,"AAAAADz96/w=")</f>
        <v>#REF!</v>
      </c>
      <c r="IT10" t="e">
        <f>AND(Vendu!#REF!,"AAAAADz96/0=")</f>
        <v>#REF!</v>
      </c>
      <c r="IU10" t="e">
        <f>AND(Vendu!#REF!,"AAAAADz96/4=")</f>
        <v>#REF!</v>
      </c>
      <c r="IV10" t="e">
        <f>AND(Vendu!#REF!,"AAAAADz96/8=")</f>
        <v>#REF!</v>
      </c>
    </row>
    <row r="11" spans="1:256" ht="12.75">
      <c r="A11" t="e">
        <f>AND(Vendu!#REF!,"AAAAAG/3vwA=")</f>
        <v>#REF!</v>
      </c>
      <c r="B11" t="e">
        <f>AND(Vendu!#REF!,"AAAAAG/3vwE=")</f>
        <v>#REF!</v>
      </c>
      <c r="C11" t="e">
        <f>AND(Vendu!#REF!,"AAAAAG/3vwI=")</f>
        <v>#REF!</v>
      </c>
      <c r="D11" t="e">
        <f>AND(Vendu!#REF!,"AAAAAG/3vwM=")</f>
        <v>#REF!</v>
      </c>
      <c r="E11" t="e">
        <f>AND(Vendu!#REF!,"AAAAAG/3vwQ=")</f>
        <v>#REF!</v>
      </c>
      <c r="F11" t="e">
        <f>AND(Vendu!#REF!,"AAAAAG/3vwU=")</f>
        <v>#REF!</v>
      </c>
      <c r="G11" t="e">
        <f>AND(Vendu!#REF!,"AAAAAG/3vwY=")</f>
        <v>#REF!</v>
      </c>
      <c r="H11" t="e">
        <f>AND(Vendu!#REF!,"AAAAAG/3vwc=")</f>
        <v>#REF!</v>
      </c>
      <c r="I11" t="e">
        <f>AND(Vendu!#REF!,"AAAAAG/3vwg=")</f>
        <v>#REF!</v>
      </c>
      <c r="J11" t="e">
        <f>AND(Vendu!#REF!,"AAAAAG/3vwk=")</f>
        <v>#REF!</v>
      </c>
      <c r="K11" t="e">
        <f>IF(Vendu!#REF!,"AAAAAG/3vwo=",0)</f>
        <v>#REF!</v>
      </c>
      <c r="L11" t="e">
        <f>AND(Vendu!#REF!,"AAAAAG/3vws=")</f>
        <v>#REF!</v>
      </c>
      <c r="M11" t="e">
        <f>AND(Vendu!#REF!,"AAAAAG/3vww=")</f>
        <v>#REF!</v>
      </c>
      <c r="N11" t="e">
        <f>AND(Vendu!#REF!,"AAAAAG/3vw0=")</f>
        <v>#REF!</v>
      </c>
      <c r="O11" t="e">
        <f>AND(Vendu!#REF!,"AAAAAG/3vw4=")</f>
        <v>#REF!</v>
      </c>
      <c r="P11" t="e">
        <f>AND(Vendu!#REF!,"AAAAAG/3vw8=")</f>
        <v>#REF!</v>
      </c>
      <c r="Q11" t="e">
        <f>AND(Vendu!#REF!,"AAAAAG/3vxA=")</f>
        <v>#REF!</v>
      </c>
      <c r="R11" t="e">
        <f>AND(Vendu!#REF!,"AAAAAG/3vxE=")</f>
        <v>#REF!</v>
      </c>
      <c r="S11" t="e">
        <f>AND(Vendu!#REF!,"AAAAAG/3vxI=")</f>
        <v>#REF!</v>
      </c>
      <c r="T11" t="e">
        <f>AND(Vendu!#REF!,"AAAAAG/3vxM=")</f>
        <v>#REF!</v>
      </c>
      <c r="U11" t="e">
        <f>AND(Vendu!#REF!,"AAAAAG/3vxQ=")</f>
        <v>#REF!</v>
      </c>
      <c r="V11" t="e">
        <f>AND(Vendu!#REF!,"AAAAAG/3vxU=")</f>
        <v>#REF!</v>
      </c>
      <c r="W11" t="e">
        <f>AND(Vendu!#REF!,"AAAAAG/3vxY=")</f>
        <v>#REF!</v>
      </c>
      <c r="X11" t="e">
        <f>AND(Vendu!#REF!,"AAAAAG/3vxc=")</f>
        <v>#REF!</v>
      </c>
      <c r="Y11" t="e">
        <f>AND(Vendu!#REF!,"AAAAAG/3vxg=")</f>
        <v>#REF!</v>
      </c>
      <c r="Z11" t="e">
        <f>AND(Vendu!#REF!,"AAAAAG/3vxk=")</f>
        <v>#REF!</v>
      </c>
      <c r="AA11" t="e">
        <f>AND(Vendu!#REF!,"AAAAAG/3vxo=")</f>
        <v>#REF!</v>
      </c>
      <c r="AB11" t="e">
        <f>AND(Vendu!#REF!,"AAAAAG/3vxs=")</f>
        <v>#REF!</v>
      </c>
      <c r="AC11" t="e">
        <f>AND(Vendu!#REF!,"AAAAAG/3vxw=")</f>
        <v>#REF!</v>
      </c>
      <c r="AD11" t="e">
        <f>AND(Vendu!#REF!,"AAAAAG/3vx0=")</f>
        <v>#REF!</v>
      </c>
      <c r="AE11" t="e">
        <f>AND(Vendu!#REF!,"AAAAAG/3vx4=")</f>
        <v>#REF!</v>
      </c>
      <c r="AF11" t="e">
        <f>AND(Vendu!#REF!,"AAAAAG/3vx8=")</f>
        <v>#REF!</v>
      </c>
      <c r="AG11" t="e">
        <f>AND(Vendu!#REF!,"AAAAAG/3vyA=")</f>
        <v>#REF!</v>
      </c>
      <c r="AH11" t="e">
        <f>AND(Vendu!#REF!,"AAAAAG/3vyE=")</f>
        <v>#REF!</v>
      </c>
      <c r="AI11" t="e">
        <f>AND(Vendu!#REF!,"AAAAAG/3vyI=")</f>
        <v>#REF!</v>
      </c>
      <c r="AJ11" t="e">
        <f>AND(Vendu!#REF!,"AAAAAG/3vyM=")</f>
        <v>#REF!</v>
      </c>
      <c r="AK11" t="e">
        <f>IF(Vendu!#REF!,"AAAAAG/3vyQ=",0)</f>
        <v>#REF!</v>
      </c>
      <c r="AL11" t="e">
        <f>AND(Vendu!#REF!,"AAAAAG/3vyU=")</f>
        <v>#REF!</v>
      </c>
      <c r="AM11" t="e">
        <f>AND(Vendu!#REF!,"AAAAAG/3vyY=")</f>
        <v>#REF!</v>
      </c>
      <c r="AN11" t="e">
        <f>AND(Vendu!#REF!,"AAAAAG/3vyc=")</f>
        <v>#REF!</v>
      </c>
      <c r="AO11" t="e">
        <f>AND(Vendu!#REF!,"AAAAAG/3vyg=")</f>
        <v>#REF!</v>
      </c>
      <c r="AP11" t="e">
        <f>AND(Vendu!#REF!,"AAAAAG/3vyk=")</f>
        <v>#REF!</v>
      </c>
      <c r="AQ11" t="e">
        <f>AND(Vendu!#REF!,"AAAAAG/3vyo=")</f>
        <v>#REF!</v>
      </c>
      <c r="AR11" t="e">
        <f>AND(Vendu!#REF!,"AAAAAG/3vys=")</f>
        <v>#REF!</v>
      </c>
      <c r="AS11" t="e">
        <f>AND(Vendu!#REF!,"AAAAAG/3vyw=")</f>
        <v>#REF!</v>
      </c>
      <c r="AT11" t="e">
        <f>AND(Vendu!#REF!,"AAAAAG/3vy0=")</f>
        <v>#REF!</v>
      </c>
      <c r="AU11" t="e">
        <f>AND(Vendu!#REF!,"AAAAAG/3vy4=")</f>
        <v>#REF!</v>
      </c>
      <c r="AV11" t="e">
        <f>AND(Vendu!#REF!,"AAAAAG/3vy8=")</f>
        <v>#REF!</v>
      </c>
      <c r="AW11" t="e">
        <f>AND(Vendu!#REF!,"AAAAAG/3vzA=")</f>
        <v>#REF!</v>
      </c>
      <c r="AX11" t="e">
        <f>AND(Vendu!#REF!,"AAAAAG/3vzE=")</f>
        <v>#REF!</v>
      </c>
      <c r="AY11" t="e">
        <f>AND(Vendu!#REF!,"AAAAAG/3vzI=")</f>
        <v>#REF!</v>
      </c>
      <c r="AZ11" t="e">
        <f>AND(Vendu!#REF!,"AAAAAG/3vzM=")</f>
        <v>#REF!</v>
      </c>
      <c r="BA11" t="e">
        <f>AND(Vendu!#REF!,"AAAAAG/3vzQ=")</f>
        <v>#REF!</v>
      </c>
      <c r="BB11" t="e">
        <f>AND(Vendu!#REF!,"AAAAAG/3vzU=")</f>
        <v>#REF!</v>
      </c>
      <c r="BC11" t="e">
        <f>AND(Vendu!#REF!,"AAAAAG/3vzY=")</f>
        <v>#REF!</v>
      </c>
      <c r="BD11" t="e">
        <f>AND(Vendu!#REF!,"AAAAAG/3vzc=")</f>
        <v>#REF!</v>
      </c>
      <c r="BE11" t="e">
        <f>AND(Vendu!#REF!,"AAAAAG/3vzg=")</f>
        <v>#REF!</v>
      </c>
      <c r="BF11" t="e">
        <f>AND(Vendu!#REF!,"AAAAAG/3vzk=")</f>
        <v>#REF!</v>
      </c>
      <c r="BG11" t="e">
        <f>AND(Vendu!#REF!,"AAAAAG/3vzo=")</f>
        <v>#REF!</v>
      </c>
      <c r="BH11" t="e">
        <f>AND(Vendu!#REF!,"AAAAAG/3vzs=")</f>
        <v>#REF!</v>
      </c>
      <c r="BI11" t="e">
        <f>AND(Vendu!#REF!,"AAAAAG/3vzw=")</f>
        <v>#REF!</v>
      </c>
      <c r="BJ11" t="e">
        <f>AND(Vendu!#REF!,"AAAAAG/3vz0=")</f>
        <v>#REF!</v>
      </c>
      <c r="BK11" t="e">
        <f>IF(Vendu!#REF!,"AAAAAG/3vz4=",0)</f>
        <v>#REF!</v>
      </c>
      <c r="BL11" t="e">
        <f>AND(Vendu!#REF!,"AAAAAG/3vz8=")</f>
        <v>#REF!</v>
      </c>
      <c r="BM11" t="e">
        <f>AND(Vendu!#REF!,"AAAAAG/3v0A=")</f>
        <v>#REF!</v>
      </c>
      <c r="BN11" t="e">
        <f>AND(Vendu!#REF!,"AAAAAG/3v0E=")</f>
        <v>#REF!</v>
      </c>
      <c r="BO11" t="e">
        <f>AND(Vendu!#REF!,"AAAAAG/3v0I=")</f>
        <v>#REF!</v>
      </c>
      <c r="BP11" t="e">
        <f>AND(Vendu!#REF!,"AAAAAG/3v0M=")</f>
        <v>#REF!</v>
      </c>
      <c r="BQ11" t="e">
        <f>AND(Vendu!#REF!,"AAAAAG/3v0Q=")</f>
        <v>#REF!</v>
      </c>
      <c r="BR11" t="e">
        <f>AND(Vendu!#REF!,"AAAAAG/3v0U=")</f>
        <v>#REF!</v>
      </c>
      <c r="BS11" t="e">
        <f>AND(Vendu!#REF!,"AAAAAG/3v0Y=")</f>
        <v>#REF!</v>
      </c>
      <c r="BT11" t="e">
        <f>AND(Vendu!#REF!,"AAAAAG/3v0c=")</f>
        <v>#REF!</v>
      </c>
      <c r="BU11" t="e">
        <f>AND(Vendu!#REF!,"AAAAAG/3v0g=")</f>
        <v>#REF!</v>
      </c>
      <c r="BV11" t="e">
        <f>AND(Vendu!#REF!,"AAAAAG/3v0k=")</f>
        <v>#REF!</v>
      </c>
      <c r="BW11" t="e">
        <f>AND(Vendu!#REF!,"AAAAAG/3v0o=")</f>
        <v>#REF!</v>
      </c>
      <c r="BX11" t="e">
        <f>AND(Vendu!#REF!,"AAAAAG/3v0s=")</f>
        <v>#REF!</v>
      </c>
      <c r="BY11" t="e">
        <f>AND(Vendu!#REF!,"AAAAAG/3v0w=")</f>
        <v>#REF!</v>
      </c>
      <c r="BZ11" t="e">
        <f>AND(Vendu!#REF!,"AAAAAG/3v00=")</f>
        <v>#REF!</v>
      </c>
      <c r="CA11" t="e">
        <f>AND(Vendu!#REF!,"AAAAAG/3v04=")</f>
        <v>#REF!</v>
      </c>
      <c r="CB11" t="e">
        <f>AND(Vendu!#REF!,"AAAAAG/3v08=")</f>
        <v>#REF!</v>
      </c>
      <c r="CC11" t="e">
        <f>AND(Vendu!#REF!,"AAAAAG/3v1A=")</f>
        <v>#REF!</v>
      </c>
      <c r="CD11" t="e">
        <f>AND(Vendu!#REF!,"AAAAAG/3v1E=")</f>
        <v>#REF!</v>
      </c>
      <c r="CE11" t="e">
        <f>AND(Vendu!#REF!,"AAAAAG/3v1I=")</f>
        <v>#REF!</v>
      </c>
      <c r="CF11" t="e">
        <f>AND(Vendu!#REF!,"AAAAAG/3v1M=")</f>
        <v>#REF!</v>
      </c>
      <c r="CG11" t="e">
        <f>AND(Vendu!#REF!,"AAAAAG/3v1Q=")</f>
        <v>#REF!</v>
      </c>
      <c r="CH11" t="e">
        <f>AND(Vendu!#REF!,"AAAAAG/3v1U=")</f>
        <v>#REF!</v>
      </c>
      <c r="CI11" t="e">
        <f>AND(Vendu!#REF!,"AAAAAG/3v1Y=")</f>
        <v>#REF!</v>
      </c>
      <c r="CJ11" t="e">
        <f>AND(Vendu!#REF!,"AAAAAG/3v1c=")</f>
        <v>#REF!</v>
      </c>
      <c r="CK11" t="e">
        <f>IF(Vendu!#REF!,"AAAAAG/3v1g=",0)</f>
        <v>#REF!</v>
      </c>
      <c r="CL11" t="e">
        <f>AND(Vendu!#REF!,"AAAAAG/3v1k=")</f>
        <v>#REF!</v>
      </c>
      <c r="CM11" t="e">
        <f>AND(Vendu!#REF!,"AAAAAG/3v1o=")</f>
        <v>#REF!</v>
      </c>
      <c r="CN11" t="e">
        <f>AND(Vendu!#REF!,"AAAAAG/3v1s=")</f>
        <v>#REF!</v>
      </c>
      <c r="CO11" t="e">
        <f>AND(Vendu!#REF!,"AAAAAG/3v1w=")</f>
        <v>#REF!</v>
      </c>
      <c r="CP11" t="e">
        <f>AND(Vendu!#REF!,"AAAAAG/3v10=")</f>
        <v>#REF!</v>
      </c>
      <c r="CQ11" t="e">
        <f>AND(Vendu!#REF!,"AAAAAG/3v14=")</f>
        <v>#REF!</v>
      </c>
      <c r="CR11" t="e">
        <f>AND(Vendu!#REF!,"AAAAAG/3v18=")</f>
        <v>#REF!</v>
      </c>
      <c r="CS11" t="e">
        <f>AND(Vendu!#REF!,"AAAAAG/3v2A=")</f>
        <v>#REF!</v>
      </c>
      <c r="CT11" t="e">
        <f>AND(Vendu!#REF!,"AAAAAG/3v2E=")</f>
        <v>#REF!</v>
      </c>
      <c r="CU11" t="e">
        <f>AND(Vendu!#REF!,"AAAAAG/3v2I=")</f>
        <v>#REF!</v>
      </c>
      <c r="CV11" t="e">
        <f>AND(Vendu!#REF!,"AAAAAG/3v2M=")</f>
        <v>#REF!</v>
      </c>
      <c r="CW11" t="e">
        <f>AND(Vendu!#REF!,"AAAAAG/3v2Q=")</f>
        <v>#REF!</v>
      </c>
      <c r="CX11" t="e">
        <f>AND(Vendu!#REF!,"AAAAAG/3v2U=")</f>
        <v>#REF!</v>
      </c>
      <c r="CY11" t="e">
        <f>AND(Vendu!#REF!,"AAAAAG/3v2Y=")</f>
        <v>#REF!</v>
      </c>
      <c r="CZ11" t="e">
        <f>AND(Vendu!#REF!,"AAAAAG/3v2c=")</f>
        <v>#REF!</v>
      </c>
      <c r="DA11" t="e">
        <f>AND(Vendu!#REF!,"AAAAAG/3v2g=")</f>
        <v>#REF!</v>
      </c>
      <c r="DB11" t="e">
        <f>AND(Vendu!#REF!,"AAAAAG/3v2k=")</f>
        <v>#REF!</v>
      </c>
      <c r="DC11" t="e">
        <f>AND(Vendu!#REF!,"AAAAAG/3v2o=")</f>
        <v>#REF!</v>
      </c>
      <c r="DD11" t="e">
        <f>AND(Vendu!#REF!,"AAAAAG/3v2s=")</f>
        <v>#REF!</v>
      </c>
      <c r="DE11" t="e">
        <f>AND(Vendu!#REF!,"AAAAAG/3v2w=")</f>
        <v>#REF!</v>
      </c>
      <c r="DF11" t="e">
        <f>AND(Vendu!#REF!,"AAAAAG/3v20=")</f>
        <v>#REF!</v>
      </c>
      <c r="DG11" t="e">
        <f>AND(Vendu!#REF!,"AAAAAG/3v24=")</f>
        <v>#REF!</v>
      </c>
      <c r="DH11" t="e">
        <f>AND(Vendu!#REF!,"AAAAAG/3v28=")</f>
        <v>#REF!</v>
      </c>
      <c r="DI11" t="e">
        <f>AND(Vendu!#REF!,"AAAAAG/3v3A=")</f>
        <v>#REF!</v>
      </c>
      <c r="DJ11" t="e">
        <f>AND(Vendu!#REF!,"AAAAAG/3v3E=")</f>
        <v>#REF!</v>
      </c>
      <c r="DK11" t="e">
        <f>IF(Vendu!#REF!,"AAAAAG/3v3I=",0)</f>
        <v>#REF!</v>
      </c>
      <c r="DL11" t="e">
        <f>AND(Vendu!#REF!,"AAAAAG/3v3M=")</f>
        <v>#REF!</v>
      </c>
      <c r="DM11" t="e">
        <f>AND(Vendu!#REF!,"AAAAAG/3v3Q=")</f>
        <v>#REF!</v>
      </c>
      <c r="DN11" t="e">
        <f>AND(Vendu!#REF!,"AAAAAG/3v3U=")</f>
        <v>#REF!</v>
      </c>
      <c r="DO11" t="e">
        <f>AND(Vendu!#REF!,"AAAAAG/3v3Y=")</f>
        <v>#REF!</v>
      </c>
      <c r="DP11" t="e">
        <f>AND(Vendu!#REF!,"AAAAAG/3v3c=")</f>
        <v>#REF!</v>
      </c>
      <c r="DQ11" t="e">
        <f>AND(Vendu!#REF!,"AAAAAG/3v3g=")</f>
        <v>#REF!</v>
      </c>
      <c r="DR11" t="e">
        <f>AND(Vendu!#REF!,"AAAAAG/3v3k=")</f>
        <v>#REF!</v>
      </c>
      <c r="DS11" t="e">
        <f>AND(Vendu!#REF!,"AAAAAG/3v3o=")</f>
        <v>#REF!</v>
      </c>
      <c r="DT11" t="e">
        <f>AND(Vendu!#REF!,"AAAAAG/3v3s=")</f>
        <v>#REF!</v>
      </c>
      <c r="DU11" t="e">
        <f>AND(Vendu!#REF!,"AAAAAG/3v3w=")</f>
        <v>#REF!</v>
      </c>
      <c r="DV11" t="e">
        <f>AND(Vendu!#REF!,"AAAAAG/3v30=")</f>
        <v>#REF!</v>
      </c>
      <c r="DW11" t="e">
        <f>AND(Vendu!#REF!,"AAAAAG/3v34=")</f>
        <v>#REF!</v>
      </c>
      <c r="DX11" t="e">
        <f>AND(Vendu!#REF!,"AAAAAG/3v38=")</f>
        <v>#REF!</v>
      </c>
      <c r="DY11" t="e">
        <f>AND(Vendu!#REF!,"AAAAAG/3v4A=")</f>
        <v>#REF!</v>
      </c>
      <c r="DZ11" t="e">
        <f>AND(Vendu!#REF!,"AAAAAG/3v4E=")</f>
        <v>#REF!</v>
      </c>
      <c r="EA11" t="e">
        <f>AND(Vendu!#REF!,"AAAAAG/3v4I=")</f>
        <v>#REF!</v>
      </c>
      <c r="EB11" t="e">
        <f>AND(Vendu!#REF!,"AAAAAG/3v4M=")</f>
        <v>#REF!</v>
      </c>
      <c r="EC11" t="e">
        <f>AND(Vendu!#REF!,"AAAAAG/3v4Q=")</f>
        <v>#REF!</v>
      </c>
      <c r="ED11" t="e">
        <f>AND(Vendu!#REF!,"AAAAAG/3v4U=")</f>
        <v>#REF!</v>
      </c>
      <c r="EE11" t="e">
        <f>AND(Vendu!#REF!,"AAAAAG/3v4Y=")</f>
        <v>#REF!</v>
      </c>
      <c r="EF11" t="e">
        <f>AND(Vendu!#REF!,"AAAAAG/3v4c=")</f>
        <v>#REF!</v>
      </c>
      <c r="EG11" t="e">
        <f>AND(Vendu!#REF!,"AAAAAG/3v4g=")</f>
        <v>#REF!</v>
      </c>
      <c r="EH11" t="e">
        <f>AND(Vendu!#REF!,"AAAAAG/3v4k=")</f>
        <v>#REF!</v>
      </c>
      <c r="EI11" t="e">
        <f>AND(Vendu!#REF!,"AAAAAG/3v4o=")</f>
        <v>#REF!</v>
      </c>
      <c r="EJ11" t="e">
        <f>AND(Vendu!#REF!,"AAAAAG/3v4s=")</f>
        <v>#REF!</v>
      </c>
      <c r="EK11" t="e">
        <f>IF(Vendu!#REF!,"AAAAAG/3v4w=",0)</f>
        <v>#REF!</v>
      </c>
      <c r="EL11" t="e">
        <f>AND(Vendu!#REF!,"AAAAAG/3v40=")</f>
        <v>#REF!</v>
      </c>
      <c r="EM11" t="e">
        <f>AND(Vendu!#REF!,"AAAAAG/3v44=")</f>
        <v>#REF!</v>
      </c>
      <c r="EN11" t="e">
        <f>AND(Vendu!#REF!,"AAAAAG/3v48=")</f>
        <v>#REF!</v>
      </c>
      <c r="EO11" t="e">
        <f>AND(Vendu!#REF!,"AAAAAG/3v5A=")</f>
        <v>#REF!</v>
      </c>
      <c r="EP11" t="e">
        <f>AND(Vendu!#REF!,"AAAAAG/3v5E=")</f>
        <v>#REF!</v>
      </c>
      <c r="EQ11" t="e">
        <f>AND(Vendu!#REF!,"AAAAAG/3v5I=")</f>
        <v>#REF!</v>
      </c>
      <c r="ER11" t="e">
        <f>AND(Vendu!#REF!,"AAAAAG/3v5M=")</f>
        <v>#REF!</v>
      </c>
      <c r="ES11" t="e">
        <f>AND(Vendu!#REF!,"AAAAAG/3v5Q=")</f>
        <v>#REF!</v>
      </c>
      <c r="ET11" t="e">
        <f>AND(Vendu!#REF!,"AAAAAG/3v5U=")</f>
        <v>#REF!</v>
      </c>
      <c r="EU11" t="e">
        <f>AND(Vendu!#REF!,"AAAAAG/3v5Y=")</f>
        <v>#REF!</v>
      </c>
      <c r="EV11" t="e">
        <f>AND(Vendu!#REF!,"AAAAAG/3v5c=")</f>
        <v>#REF!</v>
      </c>
      <c r="EW11" t="e">
        <f>AND(Vendu!#REF!,"AAAAAG/3v5g=")</f>
        <v>#REF!</v>
      </c>
      <c r="EX11" t="e">
        <f>AND(Vendu!#REF!,"AAAAAG/3v5k=")</f>
        <v>#REF!</v>
      </c>
      <c r="EY11" t="e">
        <f>AND(Vendu!#REF!,"AAAAAG/3v5o=")</f>
        <v>#REF!</v>
      </c>
      <c r="EZ11" t="e">
        <f>AND(Vendu!#REF!,"AAAAAG/3v5s=")</f>
        <v>#REF!</v>
      </c>
      <c r="FA11" t="e">
        <f>AND(Vendu!#REF!,"AAAAAG/3v5w=")</f>
        <v>#REF!</v>
      </c>
      <c r="FB11" t="e">
        <f>AND(Vendu!#REF!,"AAAAAG/3v50=")</f>
        <v>#REF!</v>
      </c>
      <c r="FC11" t="e">
        <f>AND(Vendu!#REF!,"AAAAAG/3v54=")</f>
        <v>#REF!</v>
      </c>
      <c r="FD11" t="e">
        <f>AND(Vendu!#REF!,"AAAAAG/3v58=")</f>
        <v>#REF!</v>
      </c>
      <c r="FE11" t="e">
        <f>AND(Vendu!#REF!,"AAAAAG/3v6A=")</f>
        <v>#REF!</v>
      </c>
      <c r="FF11" t="e">
        <f>AND(Vendu!#REF!,"AAAAAG/3v6E=")</f>
        <v>#REF!</v>
      </c>
      <c r="FG11" t="e">
        <f>AND(Vendu!#REF!,"AAAAAG/3v6I=")</f>
        <v>#REF!</v>
      </c>
      <c r="FH11" t="e">
        <f>AND(Vendu!#REF!,"AAAAAG/3v6M=")</f>
        <v>#REF!</v>
      </c>
      <c r="FI11" t="e">
        <f>AND(Vendu!#REF!,"AAAAAG/3v6Q=")</f>
        <v>#REF!</v>
      </c>
      <c r="FJ11" t="e">
        <f>AND(Vendu!#REF!,"AAAAAG/3v6U=")</f>
        <v>#REF!</v>
      </c>
      <c r="FK11" t="e">
        <f>IF(Vendu!#REF!,"AAAAAG/3v6Y=",0)</f>
        <v>#REF!</v>
      </c>
      <c r="FL11" t="e">
        <f>AND(Vendu!#REF!,"AAAAAG/3v6c=")</f>
        <v>#REF!</v>
      </c>
      <c r="FM11" t="e">
        <f>AND(Vendu!#REF!,"AAAAAG/3v6g=")</f>
        <v>#REF!</v>
      </c>
      <c r="FN11" t="e">
        <f>AND(Vendu!#REF!,"AAAAAG/3v6k=")</f>
        <v>#REF!</v>
      </c>
      <c r="FO11" t="e">
        <f>AND(Vendu!#REF!,"AAAAAG/3v6o=")</f>
        <v>#REF!</v>
      </c>
      <c r="FP11" t="e">
        <f>AND(Vendu!#REF!,"AAAAAG/3v6s=")</f>
        <v>#REF!</v>
      </c>
      <c r="FQ11" t="e">
        <f>AND(Vendu!#REF!,"AAAAAG/3v6w=")</f>
        <v>#REF!</v>
      </c>
      <c r="FR11" t="e">
        <f>AND(Vendu!#REF!,"AAAAAG/3v60=")</f>
        <v>#REF!</v>
      </c>
      <c r="FS11" t="e">
        <f>AND(Vendu!#REF!,"AAAAAG/3v64=")</f>
        <v>#REF!</v>
      </c>
      <c r="FT11" t="e">
        <f>AND(Vendu!#REF!,"AAAAAG/3v68=")</f>
        <v>#REF!</v>
      </c>
      <c r="FU11" t="e">
        <f>AND(Vendu!#REF!,"AAAAAG/3v7A=")</f>
        <v>#REF!</v>
      </c>
      <c r="FV11" t="e">
        <f>AND(Vendu!#REF!,"AAAAAG/3v7E=")</f>
        <v>#REF!</v>
      </c>
      <c r="FW11" t="e">
        <f>AND(Vendu!#REF!,"AAAAAG/3v7I=")</f>
        <v>#REF!</v>
      </c>
      <c r="FX11" t="e">
        <f>AND(Vendu!#REF!,"AAAAAG/3v7M=")</f>
        <v>#REF!</v>
      </c>
      <c r="FY11" t="e">
        <f>AND(Vendu!#REF!,"AAAAAG/3v7Q=")</f>
        <v>#REF!</v>
      </c>
      <c r="FZ11" t="e">
        <f>AND(Vendu!#REF!,"AAAAAG/3v7U=")</f>
        <v>#REF!</v>
      </c>
      <c r="GA11" t="e">
        <f>AND(Vendu!#REF!,"AAAAAG/3v7Y=")</f>
        <v>#REF!</v>
      </c>
      <c r="GB11" t="e">
        <f>AND(Vendu!#REF!,"AAAAAG/3v7c=")</f>
        <v>#REF!</v>
      </c>
      <c r="GC11" t="e">
        <f>AND(Vendu!#REF!,"AAAAAG/3v7g=")</f>
        <v>#REF!</v>
      </c>
      <c r="GD11" t="e">
        <f>AND(Vendu!#REF!,"AAAAAG/3v7k=")</f>
        <v>#REF!</v>
      </c>
      <c r="GE11" t="e">
        <f>AND(Vendu!#REF!,"AAAAAG/3v7o=")</f>
        <v>#REF!</v>
      </c>
      <c r="GF11" t="e">
        <f>AND(Vendu!#REF!,"AAAAAG/3v7s=")</f>
        <v>#REF!</v>
      </c>
      <c r="GG11" t="e">
        <f>AND(Vendu!#REF!,"AAAAAG/3v7w=")</f>
        <v>#REF!</v>
      </c>
      <c r="GH11" t="e">
        <f>AND(Vendu!#REF!,"AAAAAG/3v70=")</f>
        <v>#REF!</v>
      </c>
      <c r="GI11" t="e">
        <f>AND(Vendu!#REF!,"AAAAAG/3v74=")</f>
        <v>#REF!</v>
      </c>
      <c r="GJ11" t="e">
        <f>AND(Vendu!#REF!,"AAAAAG/3v78=")</f>
        <v>#REF!</v>
      </c>
      <c r="GK11" t="e">
        <f>IF(Vendu!#REF!,"AAAAAG/3v8A=",0)</f>
        <v>#REF!</v>
      </c>
      <c r="GL11" t="e">
        <f>AND(Vendu!#REF!,"AAAAAG/3v8E=")</f>
        <v>#REF!</v>
      </c>
      <c r="GM11" t="e">
        <f>AND(Vendu!#REF!,"AAAAAG/3v8I=")</f>
        <v>#REF!</v>
      </c>
      <c r="GN11" t="e">
        <f>AND(Vendu!#REF!,"AAAAAG/3v8M=")</f>
        <v>#REF!</v>
      </c>
      <c r="GO11" t="e">
        <f>AND(Vendu!#REF!,"AAAAAG/3v8Q=")</f>
        <v>#REF!</v>
      </c>
      <c r="GP11" t="e">
        <f>AND(Vendu!#REF!,"AAAAAG/3v8U=")</f>
        <v>#REF!</v>
      </c>
      <c r="GQ11" t="e">
        <f>AND(Vendu!#REF!,"AAAAAG/3v8Y=")</f>
        <v>#REF!</v>
      </c>
      <c r="GR11" t="e">
        <f>AND(Vendu!#REF!,"AAAAAG/3v8c=")</f>
        <v>#REF!</v>
      </c>
      <c r="GS11" t="e">
        <f>AND(Vendu!#REF!,"AAAAAG/3v8g=")</f>
        <v>#REF!</v>
      </c>
      <c r="GT11" t="e">
        <f>AND(Vendu!#REF!,"AAAAAG/3v8k=")</f>
        <v>#REF!</v>
      </c>
      <c r="GU11" t="e">
        <f>AND(Vendu!#REF!,"AAAAAG/3v8o=")</f>
        <v>#REF!</v>
      </c>
      <c r="GV11" t="e">
        <f>AND(Vendu!#REF!,"AAAAAG/3v8s=")</f>
        <v>#REF!</v>
      </c>
      <c r="GW11" t="e">
        <f>AND(Vendu!#REF!,"AAAAAG/3v8w=")</f>
        <v>#REF!</v>
      </c>
      <c r="GX11" t="e">
        <f>AND(Vendu!#REF!,"AAAAAG/3v80=")</f>
        <v>#REF!</v>
      </c>
      <c r="GY11" t="e">
        <f>AND(Vendu!#REF!,"AAAAAG/3v84=")</f>
        <v>#REF!</v>
      </c>
      <c r="GZ11" t="e">
        <f>AND(Vendu!#REF!,"AAAAAG/3v88=")</f>
        <v>#REF!</v>
      </c>
      <c r="HA11" t="e">
        <f>AND(Vendu!#REF!,"AAAAAG/3v9A=")</f>
        <v>#REF!</v>
      </c>
      <c r="HB11" t="e">
        <f>AND(Vendu!#REF!,"AAAAAG/3v9E=")</f>
        <v>#REF!</v>
      </c>
      <c r="HC11" t="e">
        <f>AND(Vendu!#REF!,"AAAAAG/3v9I=")</f>
        <v>#REF!</v>
      </c>
      <c r="HD11" t="e">
        <f>AND(Vendu!#REF!,"AAAAAG/3v9M=")</f>
        <v>#REF!</v>
      </c>
      <c r="HE11" t="e">
        <f>AND(Vendu!#REF!,"AAAAAG/3v9Q=")</f>
        <v>#REF!</v>
      </c>
      <c r="HF11" t="e">
        <f>AND(Vendu!#REF!,"AAAAAG/3v9U=")</f>
        <v>#REF!</v>
      </c>
      <c r="HG11" t="e">
        <f>AND(Vendu!#REF!,"AAAAAG/3v9Y=")</f>
        <v>#REF!</v>
      </c>
      <c r="HH11" t="e">
        <f>AND(Vendu!#REF!,"AAAAAG/3v9c=")</f>
        <v>#REF!</v>
      </c>
      <c r="HI11" t="e">
        <f>AND(Vendu!#REF!,"AAAAAG/3v9g=")</f>
        <v>#REF!</v>
      </c>
      <c r="HJ11" t="e">
        <f>AND(Vendu!#REF!,"AAAAAG/3v9k=")</f>
        <v>#REF!</v>
      </c>
      <c r="HK11" t="e">
        <f>IF(Vendu!#REF!,"AAAAAG/3v9o=",0)</f>
        <v>#REF!</v>
      </c>
      <c r="HL11" t="e">
        <f>AND(Vendu!#REF!,"AAAAAG/3v9s=")</f>
        <v>#REF!</v>
      </c>
      <c r="HM11" t="e">
        <f>AND(Vendu!#REF!,"AAAAAG/3v9w=")</f>
        <v>#REF!</v>
      </c>
      <c r="HN11" t="e">
        <f>AND(Vendu!#REF!,"AAAAAG/3v90=")</f>
        <v>#REF!</v>
      </c>
      <c r="HO11" t="e">
        <f>AND(Vendu!#REF!,"AAAAAG/3v94=")</f>
        <v>#REF!</v>
      </c>
      <c r="HP11" t="e">
        <f>AND(Vendu!#REF!,"AAAAAG/3v98=")</f>
        <v>#REF!</v>
      </c>
      <c r="HQ11" t="e">
        <f>AND(Vendu!#REF!,"AAAAAG/3v+A=")</f>
        <v>#REF!</v>
      </c>
      <c r="HR11" t="e">
        <f>AND(Vendu!#REF!,"AAAAAG/3v+E=")</f>
        <v>#REF!</v>
      </c>
      <c r="HS11" t="e">
        <f>AND(Vendu!#REF!,"AAAAAG/3v+I=")</f>
        <v>#REF!</v>
      </c>
      <c r="HT11" t="e">
        <f>AND(Vendu!#REF!,"AAAAAG/3v+M=")</f>
        <v>#REF!</v>
      </c>
      <c r="HU11" t="e">
        <f>AND(Vendu!#REF!,"AAAAAG/3v+Q=")</f>
        <v>#REF!</v>
      </c>
      <c r="HV11" t="e">
        <f>AND(Vendu!#REF!,"AAAAAG/3v+U=")</f>
        <v>#REF!</v>
      </c>
      <c r="HW11" t="e">
        <f>AND(Vendu!#REF!,"AAAAAG/3v+Y=")</f>
        <v>#REF!</v>
      </c>
      <c r="HX11" t="e">
        <f>AND(Vendu!#REF!,"AAAAAG/3v+c=")</f>
        <v>#REF!</v>
      </c>
      <c r="HY11" t="e">
        <f>AND(Vendu!#REF!,"AAAAAG/3v+g=")</f>
        <v>#REF!</v>
      </c>
      <c r="HZ11" t="e">
        <f>AND(Vendu!#REF!,"AAAAAG/3v+k=")</f>
        <v>#REF!</v>
      </c>
      <c r="IA11" t="e">
        <f>AND(Vendu!#REF!,"AAAAAG/3v+o=")</f>
        <v>#REF!</v>
      </c>
      <c r="IB11" t="e">
        <f>AND(Vendu!#REF!,"AAAAAG/3v+s=")</f>
        <v>#REF!</v>
      </c>
      <c r="IC11" t="e">
        <f>AND(Vendu!#REF!,"AAAAAG/3v+w=")</f>
        <v>#REF!</v>
      </c>
      <c r="ID11" t="e">
        <f>AND(Vendu!#REF!,"AAAAAG/3v+0=")</f>
        <v>#REF!</v>
      </c>
      <c r="IE11" t="e">
        <f>AND(Vendu!#REF!,"AAAAAG/3v+4=")</f>
        <v>#REF!</v>
      </c>
      <c r="IF11" t="e">
        <f>AND(Vendu!#REF!,"AAAAAG/3v+8=")</f>
        <v>#REF!</v>
      </c>
      <c r="IG11" t="e">
        <f>AND(Vendu!#REF!,"AAAAAG/3v/A=")</f>
        <v>#REF!</v>
      </c>
      <c r="IH11" t="e">
        <f>AND(Vendu!#REF!,"AAAAAG/3v/E=")</f>
        <v>#REF!</v>
      </c>
      <c r="II11" t="e">
        <f>AND(Vendu!#REF!,"AAAAAG/3v/I=")</f>
        <v>#REF!</v>
      </c>
      <c r="IJ11" t="e">
        <f>AND(Vendu!#REF!,"AAAAAG/3v/M=")</f>
        <v>#REF!</v>
      </c>
      <c r="IK11" t="e">
        <f>IF(Vendu!#REF!,"AAAAAG/3v/Q=",0)</f>
        <v>#REF!</v>
      </c>
      <c r="IL11" t="e">
        <f>AND(Vendu!#REF!,"AAAAAG/3v/U=")</f>
        <v>#REF!</v>
      </c>
      <c r="IM11" t="e">
        <f>AND(Vendu!#REF!,"AAAAAG/3v/Y=")</f>
        <v>#REF!</v>
      </c>
      <c r="IN11" t="e">
        <f>AND(Vendu!#REF!,"AAAAAG/3v/c=")</f>
        <v>#REF!</v>
      </c>
      <c r="IO11" t="e">
        <f>AND(Vendu!#REF!,"AAAAAG/3v/g=")</f>
        <v>#REF!</v>
      </c>
      <c r="IP11" t="e">
        <f>AND(Vendu!#REF!,"AAAAAG/3v/k=")</f>
        <v>#REF!</v>
      </c>
      <c r="IQ11" t="e">
        <f>AND(Vendu!#REF!,"AAAAAG/3v/o=")</f>
        <v>#REF!</v>
      </c>
      <c r="IR11" t="e">
        <f>AND(Vendu!#REF!,"AAAAAG/3v/s=")</f>
        <v>#REF!</v>
      </c>
      <c r="IS11" t="e">
        <f>AND(Vendu!#REF!,"AAAAAG/3v/w=")</f>
        <v>#REF!</v>
      </c>
      <c r="IT11" t="e">
        <f>AND(Vendu!#REF!,"AAAAAG/3v/0=")</f>
        <v>#REF!</v>
      </c>
      <c r="IU11" t="e">
        <f>AND(Vendu!#REF!,"AAAAAG/3v/4=")</f>
        <v>#REF!</v>
      </c>
      <c r="IV11" t="e">
        <f>AND(Vendu!#REF!,"AAAAAG/3v/8=")</f>
        <v>#REF!</v>
      </c>
    </row>
    <row r="12" spans="1:148" ht="12.75">
      <c r="A12" t="e">
        <f>AND(Vendu!#REF!,"AAAAAHJfbwA=")</f>
        <v>#REF!</v>
      </c>
      <c r="B12" t="e">
        <f>AND(Vendu!#REF!,"AAAAAHJfbwE=")</f>
        <v>#REF!</v>
      </c>
      <c r="C12" t="e">
        <f>AND(Vendu!#REF!,"AAAAAHJfbwI=")</f>
        <v>#REF!</v>
      </c>
      <c r="D12" t="e">
        <f>AND(Vendu!#REF!,"AAAAAHJfbwM=")</f>
        <v>#REF!</v>
      </c>
      <c r="E12" t="e">
        <f>AND(Vendu!#REF!,"AAAAAHJfbwQ=")</f>
        <v>#REF!</v>
      </c>
      <c r="F12" t="e">
        <f>AND(Vendu!#REF!,"AAAAAHJfbwU=")</f>
        <v>#REF!</v>
      </c>
      <c r="G12" t="e">
        <f>AND(Vendu!#REF!,"AAAAAHJfbwY=")</f>
        <v>#REF!</v>
      </c>
      <c r="H12" t="e">
        <f>AND(Vendu!#REF!,"AAAAAHJfbwc=")</f>
        <v>#REF!</v>
      </c>
      <c r="I12" t="e">
        <f>AND(Vendu!#REF!,"AAAAAHJfbwg=")</f>
        <v>#REF!</v>
      </c>
      <c r="J12" t="e">
        <f>AND(Vendu!#REF!,"AAAAAHJfbwk=")</f>
        <v>#REF!</v>
      </c>
      <c r="K12" t="e">
        <f>AND(Vendu!#REF!,"AAAAAHJfbwo=")</f>
        <v>#REF!</v>
      </c>
      <c r="L12" t="e">
        <f>AND(Vendu!#REF!,"AAAAAHJfbws=")</f>
        <v>#REF!</v>
      </c>
      <c r="M12" t="e">
        <f>AND(Vendu!#REF!,"AAAAAHJfbww=")</f>
        <v>#REF!</v>
      </c>
      <c r="N12" t="e">
        <f>AND(Vendu!#REF!,"AAAAAHJfbw0=")</f>
        <v>#REF!</v>
      </c>
      <c r="O12" t="e">
        <f>IF(Vendu!#REF!,"AAAAAHJfbw4=",0)</f>
        <v>#REF!</v>
      </c>
      <c r="P12" t="e">
        <f>AND(Vendu!#REF!,"AAAAAHJfbw8=")</f>
        <v>#REF!</v>
      </c>
      <c r="Q12" t="e">
        <f>AND(Vendu!#REF!,"AAAAAHJfbxA=")</f>
        <v>#REF!</v>
      </c>
      <c r="R12" t="e">
        <f>AND(Vendu!#REF!,"AAAAAHJfbxE=")</f>
        <v>#REF!</v>
      </c>
      <c r="S12" t="e">
        <f>AND(Vendu!#REF!,"AAAAAHJfbxI=")</f>
        <v>#REF!</v>
      </c>
      <c r="T12" t="e">
        <f>AND(Vendu!#REF!,"AAAAAHJfbxM=")</f>
        <v>#REF!</v>
      </c>
      <c r="U12" t="e">
        <f>AND(Vendu!#REF!,"AAAAAHJfbxQ=")</f>
        <v>#REF!</v>
      </c>
      <c r="V12" t="e">
        <f>AND(Vendu!#REF!,"AAAAAHJfbxU=")</f>
        <v>#REF!</v>
      </c>
      <c r="W12" t="e">
        <f>AND(Vendu!#REF!,"AAAAAHJfbxY=")</f>
        <v>#REF!</v>
      </c>
      <c r="X12" t="e">
        <f>AND(Vendu!#REF!,"AAAAAHJfbxc=")</f>
        <v>#REF!</v>
      </c>
      <c r="Y12" t="e">
        <f>AND(Vendu!#REF!,"AAAAAHJfbxg=")</f>
        <v>#REF!</v>
      </c>
      <c r="Z12" t="e">
        <f>AND(Vendu!#REF!,"AAAAAHJfbxk=")</f>
        <v>#REF!</v>
      </c>
      <c r="AA12" t="e">
        <f>AND(Vendu!#REF!,"AAAAAHJfbxo=")</f>
        <v>#REF!</v>
      </c>
      <c r="AB12" t="e">
        <f>AND(Vendu!#REF!,"AAAAAHJfbxs=")</f>
        <v>#REF!</v>
      </c>
      <c r="AC12" t="e">
        <f>AND(Vendu!#REF!,"AAAAAHJfbxw=")</f>
        <v>#REF!</v>
      </c>
      <c r="AD12" t="e">
        <f>AND(Vendu!#REF!,"AAAAAHJfbx0=")</f>
        <v>#REF!</v>
      </c>
      <c r="AE12" t="e">
        <f>AND(Vendu!#REF!,"AAAAAHJfbx4=")</f>
        <v>#REF!</v>
      </c>
      <c r="AF12" t="e">
        <f>AND(Vendu!#REF!,"AAAAAHJfbx8=")</f>
        <v>#REF!</v>
      </c>
      <c r="AG12" t="e">
        <f>AND(Vendu!#REF!,"AAAAAHJfbyA=")</f>
        <v>#REF!</v>
      </c>
      <c r="AH12" t="e">
        <f>AND(Vendu!#REF!,"AAAAAHJfbyE=")</f>
        <v>#REF!</v>
      </c>
      <c r="AI12" t="e">
        <f>AND(Vendu!#REF!,"AAAAAHJfbyI=")</f>
        <v>#REF!</v>
      </c>
      <c r="AJ12" t="e">
        <f>AND(Vendu!#REF!,"AAAAAHJfbyM=")</f>
        <v>#REF!</v>
      </c>
      <c r="AK12" t="e">
        <f>AND(Vendu!#REF!,"AAAAAHJfbyQ=")</f>
        <v>#REF!</v>
      </c>
      <c r="AL12" t="e">
        <f>AND(Vendu!#REF!,"AAAAAHJfbyU=")</f>
        <v>#REF!</v>
      </c>
      <c r="AM12" t="e">
        <f>AND(Vendu!#REF!,"AAAAAHJfbyY=")</f>
        <v>#REF!</v>
      </c>
      <c r="AN12" t="e">
        <f>AND(Vendu!#REF!,"AAAAAHJfbyc=")</f>
        <v>#REF!</v>
      </c>
      <c r="AO12" t="e">
        <f>IF(Vendu!#REF!,"AAAAAHJfbyg=",0)</f>
        <v>#REF!</v>
      </c>
      <c r="AP12" t="e">
        <f>AND(Vendu!#REF!,"AAAAAHJfbyk=")</f>
        <v>#REF!</v>
      </c>
      <c r="AQ12" t="e">
        <f>AND(Vendu!#REF!,"AAAAAHJfbyo=")</f>
        <v>#REF!</v>
      </c>
      <c r="AR12" t="e">
        <f>AND(Vendu!#REF!,"AAAAAHJfbys=")</f>
        <v>#REF!</v>
      </c>
      <c r="AS12" t="e">
        <f>AND(Vendu!#REF!,"AAAAAHJfbyw=")</f>
        <v>#REF!</v>
      </c>
      <c r="AT12" t="e">
        <f>AND(Vendu!#REF!,"AAAAAHJfby0=")</f>
        <v>#REF!</v>
      </c>
      <c r="AU12" t="e">
        <f>AND(Vendu!#REF!,"AAAAAHJfby4=")</f>
        <v>#REF!</v>
      </c>
      <c r="AV12" t="e">
        <f>AND(Vendu!#REF!,"AAAAAHJfby8=")</f>
        <v>#REF!</v>
      </c>
      <c r="AW12" t="e">
        <f>AND(Vendu!#REF!,"AAAAAHJfbzA=")</f>
        <v>#REF!</v>
      </c>
      <c r="AX12" t="e">
        <f>AND(Vendu!#REF!,"AAAAAHJfbzE=")</f>
        <v>#REF!</v>
      </c>
      <c r="AY12" t="e">
        <f>AND(Vendu!#REF!,"AAAAAHJfbzI=")</f>
        <v>#REF!</v>
      </c>
      <c r="AZ12" t="e">
        <f>AND(Vendu!#REF!,"AAAAAHJfbzM=")</f>
        <v>#REF!</v>
      </c>
      <c r="BA12" t="e">
        <f>AND(Vendu!#REF!,"AAAAAHJfbzQ=")</f>
        <v>#REF!</v>
      </c>
      <c r="BB12" t="e">
        <f>AND(Vendu!#REF!,"AAAAAHJfbzU=")</f>
        <v>#REF!</v>
      </c>
      <c r="BC12" t="e">
        <f>AND(Vendu!#REF!,"AAAAAHJfbzY=")</f>
        <v>#REF!</v>
      </c>
      <c r="BD12" t="e">
        <f>AND(Vendu!#REF!,"AAAAAHJfbzc=")</f>
        <v>#REF!</v>
      </c>
      <c r="BE12" t="e">
        <f>AND(Vendu!#REF!,"AAAAAHJfbzg=")</f>
        <v>#REF!</v>
      </c>
      <c r="BF12" t="e">
        <f>AND(Vendu!#REF!,"AAAAAHJfbzk=")</f>
        <v>#REF!</v>
      </c>
      <c r="BG12" t="e">
        <f>AND(Vendu!#REF!,"AAAAAHJfbzo=")</f>
        <v>#REF!</v>
      </c>
      <c r="BH12" t="e">
        <f>AND(Vendu!#REF!,"AAAAAHJfbzs=")</f>
        <v>#REF!</v>
      </c>
      <c r="BI12" t="e">
        <f>AND(Vendu!#REF!,"AAAAAHJfbzw=")</f>
        <v>#REF!</v>
      </c>
      <c r="BJ12" t="e">
        <f>AND(Vendu!#REF!,"AAAAAHJfbz0=")</f>
        <v>#REF!</v>
      </c>
      <c r="BK12" t="e">
        <f>AND(Vendu!#REF!,"AAAAAHJfbz4=")</f>
        <v>#REF!</v>
      </c>
      <c r="BL12" t="e">
        <f>AND(Vendu!#REF!,"AAAAAHJfbz8=")</f>
        <v>#REF!</v>
      </c>
      <c r="BM12" t="e">
        <f>AND(Vendu!#REF!,"AAAAAHJfb0A=")</f>
        <v>#REF!</v>
      </c>
      <c r="BN12" t="e">
        <f>AND(Vendu!#REF!,"AAAAAHJfb0E=")</f>
        <v>#REF!</v>
      </c>
      <c r="BO12" t="e">
        <f>IF(Vendu!#REF!,"AAAAAHJfb0I=",0)</f>
        <v>#REF!</v>
      </c>
      <c r="BP12" t="e">
        <f>AND(Vendu!#REF!,"AAAAAHJfb0M=")</f>
        <v>#REF!</v>
      </c>
      <c r="BQ12" t="e">
        <f>AND(Vendu!#REF!,"AAAAAHJfb0Q=")</f>
        <v>#REF!</v>
      </c>
      <c r="BR12" t="e">
        <f>AND(Vendu!#REF!,"AAAAAHJfb0U=")</f>
        <v>#REF!</v>
      </c>
      <c r="BS12" t="e">
        <f>AND(Vendu!#REF!,"AAAAAHJfb0Y=")</f>
        <v>#REF!</v>
      </c>
      <c r="BT12" t="e">
        <f>AND(Vendu!#REF!,"AAAAAHJfb0c=")</f>
        <v>#REF!</v>
      </c>
      <c r="BU12" t="e">
        <f>AND(Vendu!#REF!,"AAAAAHJfb0g=")</f>
        <v>#REF!</v>
      </c>
      <c r="BV12" t="e">
        <f>AND(Vendu!#REF!,"AAAAAHJfb0k=")</f>
        <v>#REF!</v>
      </c>
      <c r="BW12" t="e">
        <f>AND(Vendu!#REF!,"AAAAAHJfb0o=")</f>
        <v>#REF!</v>
      </c>
      <c r="BX12" t="e">
        <f>AND(Vendu!#REF!,"AAAAAHJfb0s=")</f>
        <v>#REF!</v>
      </c>
      <c r="BY12" t="e">
        <f>AND(Vendu!#REF!,"AAAAAHJfb0w=")</f>
        <v>#REF!</v>
      </c>
      <c r="BZ12" t="e">
        <f>AND(Vendu!#REF!,"AAAAAHJfb00=")</f>
        <v>#REF!</v>
      </c>
      <c r="CA12" t="e">
        <f>AND(Vendu!#REF!,"AAAAAHJfb04=")</f>
        <v>#REF!</v>
      </c>
      <c r="CB12" t="e">
        <f>AND(Vendu!#REF!,"AAAAAHJfb08=")</f>
        <v>#REF!</v>
      </c>
      <c r="CC12" t="e">
        <f>AND(Vendu!#REF!,"AAAAAHJfb1A=")</f>
        <v>#REF!</v>
      </c>
      <c r="CD12" t="e">
        <f>AND(Vendu!#REF!,"AAAAAHJfb1E=")</f>
        <v>#REF!</v>
      </c>
      <c r="CE12" t="e">
        <f>AND(Vendu!#REF!,"AAAAAHJfb1I=")</f>
        <v>#REF!</v>
      </c>
      <c r="CF12" t="e">
        <f>AND(Vendu!#REF!,"AAAAAHJfb1M=")</f>
        <v>#REF!</v>
      </c>
      <c r="CG12" t="e">
        <f>AND(Vendu!#REF!,"AAAAAHJfb1Q=")</f>
        <v>#REF!</v>
      </c>
      <c r="CH12" t="e">
        <f>AND(Vendu!#REF!,"AAAAAHJfb1U=")</f>
        <v>#REF!</v>
      </c>
      <c r="CI12" t="e">
        <f>AND(Vendu!#REF!,"AAAAAHJfb1Y=")</f>
        <v>#REF!</v>
      </c>
      <c r="CJ12" t="e">
        <f>AND(Vendu!#REF!,"AAAAAHJfb1c=")</f>
        <v>#REF!</v>
      </c>
      <c r="CK12" t="e">
        <f>AND(Vendu!#REF!,"AAAAAHJfb1g=")</f>
        <v>#REF!</v>
      </c>
      <c r="CL12" t="e">
        <f>AND(Vendu!#REF!,"AAAAAHJfb1k=")</f>
        <v>#REF!</v>
      </c>
      <c r="CM12" t="e">
        <f>AND(Vendu!#REF!,"AAAAAHJfb1o=")</f>
        <v>#REF!</v>
      </c>
      <c r="CN12" t="e">
        <f>AND(Vendu!#REF!,"AAAAAHJfb1s=")</f>
        <v>#REF!</v>
      </c>
      <c r="CO12" t="e">
        <f>IF(Vendu!#REF!,"AAAAAHJfb1w=",0)</f>
        <v>#REF!</v>
      </c>
      <c r="CP12" t="e">
        <f>AND(Vendu!#REF!,"AAAAAHJfb10=")</f>
        <v>#REF!</v>
      </c>
      <c r="CQ12" t="e">
        <f>AND(Vendu!#REF!,"AAAAAHJfb14=")</f>
        <v>#REF!</v>
      </c>
      <c r="CR12" t="e">
        <f>AND(Vendu!#REF!,"AAAAAHJfb18=")</f>
        <v>#REF!</v>
      </c>
      <c r="CS12" t="e">
        <f>AND(Vendu!#REF!,"AAAAAHJfb2A=")</f>
        <v>#REF!</v>
      </c>
      <c r="CT12" t="e">
        <f>AND(Vendu!#REF!,"AAAAAHJfb2E=")</f>
        <v>#REF!</v>
      </c>
      <c r="CU12" t="e">
        <f>AND(Vendu!#REF!,"AAAAAHJfb2I=")</f>
        <v>#REF!</v>
      </c>
      <c r="CV12" t="e">
        <f>AND(Vendu!#REF!,"AAAAAHJfb2M=")</f>
        <v>#REF!</v>
      </c>
      <c r="CW12" t="e">
        <f>AND(Vendu!#REF!,"AAAAAHJfb2Q=")</f>
        <v>#REF!</v>
      </c>
      <c r="CX12" t="e">
        <f>AND(Vendu!#REF!,"AAAAAHJfb2U=")</f>
        <v>#REF!</v>
      </c>
      <c r="CY12" t="e">
        <f>AND(Vendu!#REF!,"AAAAAHJfb2Y=")</f>
        <v>#REF!</v>
      </c>
      <c r="CZ12" t="e">
        <f>AND(Vendu!#REF!,"AAAAAHJfb2c=")</f>
        <v>#REF!</v>
      </c>
      <c r="DA12" t="e">
        <f>AND(Vendu!#REF!,"AAAAAHJfb2g=")</f>
        <v>#REF!</v>
      </c>
      <c r="DB12" t="e">
        <f>AND(Vendu!#REF!,"AAAAAHJfb2k=")</f>
        <v>#REF!</v>
      </c>
      <c r="DC12" t="e">
        <f>AND(Vendu!#REF!,"AAAAAHJfb2o=")</f>
        <v>#REF!</v>
      </c>
      <c r="DD12" t="e">
        <f>AND(Vendu!#REF!,"AAAAAHJfb2s=")</f>
        <v>#REF!</v>
      </c>
      <c r="DE12" t="e">
        <f>AND(Vendu!#REF!,"AAAAAHJfb2w=")</f>
        <v>#REF!</v>
      </c>
      <c r="DF12" t="e">
        <f>AND(Vendu!#REF!,"AAAAAHJfb20=")</f>
        <v>#REF!</v>
      </c>
      <c r="DG12" t="e">
        <f>AND(Vendu!#REF!,"AAAAAHJfb24=")</f>
        <v>#REF!</v>
      </c>
      <c r="DH12" t="e">
        <f>AND(Vendu!#REF!,"AAAAAHJfb28=")</f>
        <v>#REF!</v>
      </c>
      <c r="DI12" t="e">
        <f>AND(Vendu!#REF!,"AAAAAHJfb3A=")</f>
        <v>#REF!</v>
      </c>
      <c r="DJ12" t="e">
        <f>AND(Vendu!#REF!,"AAAAAHJfb3E=")</f>
        <v>#REF!</v>
      </c>
      <c r="DK12" t="e">
        <f>AND(Vendu!#REF!,"AAAAAHJfb3I=")</f>
        <v>#REF!</v>
      </c>
      <c r="DL12" t="e">
        <f>AND(Vendu!#REF!,"AAAAAHJfb3M=")</f>
        <v>#REF!</v>
      </c>
      <c r="DM12" t="e">
        <f>AND(Vendu!#REF!,"AAAAAHJfb3Q=")</f>
        <v>#REF!</v>
      </c>
      <c r="DN12" t="e">
        <f>AND(Vendu!#REF!,"AAAAAHJfb3U=")</f>
        <v>#REF!</v>
      </c>
      <c r="DO12">
        <f>IF(Vendu!A:A,"AAAAAHJfb3Y=",0)</f>
        <v>0</v>
      </c>
      <c r="DP12">
        <f>IF(Vendu!B:B,"AAAAAHJfb3c=",0)</f>
        <v>0</v>
      </c>
      <c r="DQ12">
        <f>IF(Vendu!C:C,"AAAAAHJfb3g=",0)</f>
        <v>0</v>
      </c>
      <c r="DR12">
        <f>IF(Vendu!D:D,"AAAAAHJfb3k=",0)</f>
        <v>0</v>
      </c>
      <c r="DS12">
        <f>IF(Vendu!E:E,"AAAAAHJfb3o=",0)</f>
        <v>0</v>
      </c>
      <c r="DT12">
        <f>IF(Vendu!F:F,"AAAAAHJfb3s=",0)</f>
        <v>0</v>
      </c>
      <c r="DU12">
        <f>IF(Vendu!G:G,"AAAAAHJfb3w=",0)</f>
        <v>0</v>
      </c>
      <c r="DV12">
        <f>IF(Vendu!H:H,"AAAAAHJfb30=",0)</f>
        <v>0</v>
      </c>
      <c r="DW12">
        <f>IF(Vendu!I:I,"AAAAAHJfb34=",0)</f>
        <v>0</v>
      </c>
      <c r="DX12">
        <f>IF(Vendu!J:J,"AAAAAHJfb38=",0)</f>
        <v>0</v>
      </c>
      <c r="DY12">
        <f>IF(Vendu!K:K,"AAAAAHJfb4A=",0)</f>
        <v>0</v>
      </c>
      <c r="DZ12">
        <f>IF(Vendu!L:L,"AAAAAHJfb4E=",0)</f>
        <v>0</v>
      </c>
      <c r="EA12">
        <f>IF(Vendu!M:M,"AAAAAHJfb4I=",0)</f>
        <v>0</v>
      </c>
      <c r="EB12">
        <f>IF(Vendu!N:N,"AAAAAHJfb4M=",0)</f>
        <v>0</v>
      </c>
      <c r="EC12">
        <f>IF(Vendu!O:O,"AAAAAHJfb4Q=",0)</f>
        <v>0</v>
      </c>
      <c r="ED12">
        <f>IF(Vendu!P:P,"AAAAAHJfb4U=",0)</f>
        <v>0</v>
      </c>
      <c r="EE12">
        <f>IF(Vendu!Q:Q,"AAAAAHJfb4Y=",0)</f>
        <v>0</v>
      </c>
      <c r="EF12">
        <f>IF(Vendu!R:R,"AAAAAHJfb4c=",0)</f>
        <v>0</v>
      </c>
      <c r="EG12">
        <f>IF(Vendu!S:S,"AAAAAHJfb4g=",0)</f>
        <v>0</v>
      </c>
      <c r="EH12">
        <f>IF(Vendu!T:T,"AAAAAHJfb4k=",0)</f>
        <v>0</v>
      </c>
      <c r="EI12">
        <f>IF(Vendu!U:U,"AAAAAHJfb4o=",0)</f>
        <v>0</v>
      </c>
      <c r="EJ12">
        <f>IF(Vendu!V:V,"AAAAAHJfb4s=",0)</f>
        <v>0</v>
      </c>
      <c r="EK12">
        <f>IF(Vendu!W:W,"AAAAAHJfb4w=",0)</f>
        <v>0</v>
      </c>
      <c r="EL12">
        <f>IF(Vendu!X:X,"AAAAAHJfb40=",0)</f>
        <v>0</v>
      </c>
      <c r="EM12">
        <f>IF(Vendu!Y:Y,"AAAAAHJfb44=",0)</f>
        <v>0</v>
      </c>
      <c r="EN12">
        <f>IF(Vendu!Z:Z,"AAAAAHJfb48=",0)</f>
        <v>0</v>
      </c>
      <c r="EO12">
        <f>IF(Vendu!AA:AA,"AAAAAHJfb5A=",0)</f>
        <v>0</v>
      </c>
      <c r="EP12">
        <f>IF(Vendu!AB:AB,"AAAAAHJfb5E=",0)</f>
        <v>0</v>
      </c>
      <c r="EQ12" t="s">
        <v>148</v>
      </c>
      <c r="ER12" t="s">
        <v>149</v>
      </c>
    </row>
    <row r="13" spans="1:25" ht="12.75">
      <c r="A13" t="e">
        <f>IF(Evolution!#REF!,"AAAAADzpzwA=",0)</f>
        <v>#REF!</v>
      </c>
      <c r="B13" t="e">
        <f>AND(Evolution!#REF!,"AAAAADzpzwE=")</f>
        <v>#REF!</v>
      </c>
      <c r="C13" t="e">
        <f>AND(Evolution!#REF!,"AAAAADzpzwI=")</f>
        <v>#REF!</v>
      </c>
      <c r="D13" t="e">
        <f>AND(Evolution!#REF!,"AAAAADzpzwM=")</f>
        <v>#REF!</v>
      </c>
      <c r="E13" t="e">
        <f>AND(Evolution!#REF!,"AAAAADzpzwQ=")</f>
        <v>#REF!</v>
      </c>
      <c r="F13" t="e">
        <f>AND(Evolution!#REF!,"AAAAADzpzwU=")</f>
        <v>#REF!</v>
      </c>
      <c r="G13" t="e">
        <f>AND(Evolution!#REF!,"AAAAADzpzwY=")</f>
        <v>#REF!</v>
      </c>
      <c r="H13" t="e">
        <f>AND(Evolution!#REF!,"AAAAADzpzwc=")</f>
        <v>#REF!</v>
      </c>
      <c r="I13" t="e">
        <f>AND(Evolution!#REF!,"AAAAADzpzwg=")</f>
        <v>#REF!</v>
      </c>
      <c r="J13" t="e">
        <f>AND(Evolution!#REF!,"AAAAADzpzwk=")</f>
        <v>#REF!</v>
      </c>
      <c r="K13" t="e">
        <f>AND(Evolution!#REF!,"AAAAADzpzwo=")</f>
        <v>#REF!</v>
      </c>
      <c r="L13" t="e">
        <f>AND(Evolution!#REF!,"AAAAADzpzws=")</f>
        <v>#REF!</v>
      </c>
      <c r="M13" t="e">
        <f>AND(Evolution!#REF!,"AAAAADzpzww=")</f>
        <v>#REF!</v>
      </c>
      <c r="N13" t="e">
        <f>AND(Evolution!#REF!,"AAAAADzpzw0=")</f>
        <v>#REF!</v>
      </c>
      <c r="O13" t="e">
        <f>AND(Evolution!#REF!,"AAAAADzpzw4=")</f>
        <v>#REF!</v>
      </c>
      <c r="P13" t="e">
        <f>AND(Evolution!#REF!,"AAAAADzpzw8=")</f>
        <v>#REF!</v>
      </c>
      <c r="Q13" t="e">
        <f>AND(Evolution!#REF!,"AAAAADzpzxA=")</f>
        <v>#REF!</v>
      </c>
      <c r="R13" t="e">
        <f>AND(Evolution!#REF!,"AAAAADzpzxE=")</f>
        <v>#REF!</v>
      </c>
      <c r="S13" t="e">
        <f>AND(Evolution!#REF!,"AAAAADzpzxI=")</f>
        <v>#REF!</v>
      </c>
      <c r="T13" t="e">
        <f>AND(Evolution!#REF!,"AAAAADzpzxM=")</f>
        <v>#REF!</v>
      </c>
      <c r="U13" t="e">
        <f>AND(Evolution!#REF!,"AAAAADzpzxQ=")</f>
        <v>#REF!</v>
      </c>
      <c r="V13" t="e">
        <f>AND(Evolution!#REF!,"AAAAADzpzxU=")</f>
        <v>#REF!</v>
      </c>
      <c r="W13" t="e">
        <f>AND(Evolution!#REF!,"AAAAADzpzxY=")</f>
        <v>#REF!</v>
      </c>
      <c r="X13" t="e">
        <f>AND(Evolution!#REF!,"AAAAADzpzxc=")</f>
        <v>#REF!</v>
      </c>
      <c r="Y13" t="s">
        <v>150</v>
      </c>
    </row>
    <row r="14" ht="12.75">
      <c r="A14" t="s">
        <v>151</v>
      </c>
    </row>
    <row r="15" ht="12.75">
      <c r="A15" t="s">
        <v>152</v>
      </c>
    </row>
    <row r="16" ht="12.75">
      <c r="A16" t="s">
        <v>153</v>
      </c>
    </row>
    <row r="17" ht="12.75">
      <c r="A17" t="s">
        <v>154</v>
      </c>
    </row>
    <row r="18" ht="12.75">
      <c r="A18" t="s">
        <v>155</v>
      </c>
    </row>
    <row r="19" spans="1:25" ht="12.75">
      <c r="A19" t="e">
        <f>IF(Evolution!#REF!,"AAAAADf3YQA=",0)</f>
        <v>#REF!</v>
      </c>
      <c r="B19" t="e">
        <f>AND(Evolution!#REF!,"AAAAADf3YQE=")</f>
        <v>#REF!</v>
      </c>
      <c r="C19" t="e">
        <f>AND(Evolution!#REF!,"AAAAADf3YQI=")</f>
        <v>#REF!</v>
      </c>
      <c r="D19" t="e">
        <f>AND(Evolution!#REF!,"AAAAADf3YQM=")</f>
        <v>#REF!</v>
      </c>
      <c r="E19" t="e">
        <f>AND(Evolution!#REF!,"AAAAADf3YQQ=")</f>
        <v>#REF!</v>
      </c>
      <c r="F19" t="e">
        <f>AND(Evolution!#REF!,"AAAAADf3YQU=")</f>
        <v>#REF!</v>
      </c>
      <c r="G19" t="e">
        <f>AND(Evolution!#REF!,"AAAAADf3YQY=")</f>
        <v>#REF!</v>
      </c>
      <c r="H19" t="e">
        <f>AND(Evolution!#REF!,"AAAAADf3YQc=")</f>
        <v>#REF!</v>
      </c>
      <c r="I19" t="e">
        <f>AND(Evolution!#REF!,"AAAAADf3YQg=")</f>
        <v>#REF!</v>
      </c>
      <c r="J19" t="e">
        <f>AND(Evolution!#REF!,"AAAAADf3YQk=")</f>
        <v>#REF!</v>
      </c>
      <c r="K19" t="e">
        <f>AND(Evolution!#REF!,"AAAAADf3YQo=")</f>
        <v>#REF!</v>
      </c>
      <c r="L19" t="e">
        <f>AND(Evolution!#REF!,"AAAAADf3YQs=")</f>
        <v>#REF!</v>
      </c>
      <c r="M19" t="e">
        <f>AND(Evolution!#REF!,"AAAAADf3YQw=")</f>
        <v>#REF!</v>
      </c>
      <c r="N19" t="e">
        <f>AND(Evolution!#REF!,"AAAAADf3YQ0=")</f>
        <v>#REF!</v>
      </c>
      <c r="O19" t="e">
        <f>AND(Evolution!#REF!,"AAAAADf3YQ4=")</f>
        <v>#REF!</v>
      </c>
      <c r="P19" t="e">
        <f>AND(Evolution!#REF!,"AAAAADf3YQ8=")</f>
        <v>#REF!</v>
      </c>
      <c r="Q19" t="e">
        <f>AND(Evolution!#REF!,"AAAAADf3YRA=")</f>
        <v>#REF!</v>
      </c>
      <c r="R19" t="e">
        <f>AND(Evolution!#REF!,"AAAAADf3YRE=")</f>
        <v>#REF!</v>
      </c>
      <c r="S19" t="e">
        <f>AND(Evolution!#REF!,"AAAAADf3YRI=")</f>
        <v>#REF!</v>
      </c>
      <c r="T19" t="e">
        <f>AND(Evolution!#REF!,"AAAAADf3YRM=")</f>
        <v>#REF!</v>
      </c>
      <c r="U19" t="e">
        <f>AND(Evolution!#REF!,"AAAAADf3YRQ=")</f>
        <v>#REF!</v>
      </c>
      <c r="V19" t="e">
        <f>AND(Evolution!#REF!,"AAAAADf3YRU=")</f>
        <v>#REF!</v>
      </c>
      <c r="W19" t="e">
        <f>AND(Evolution!#REF!,"AAAAADf3YRY=")</f>
        <v>#REF!</v>
      </c>
      <c r="X19" t="e">
        <f>AND(Evolution!#REF!,"AAAAADf3YRc=")</f>
        <v>#REF!</v>
      </c>
      <c r="Y19" t="s">
        <v>156</v>
      </c>
    </row>
    <row r="20" ht="12.75">
      <c r="A20" t="s">
        <v>157</v>
      </c>
    </row>
    <row r="21" ht="12.75">
      <c r="A21" t="s">
        <v>158</v>
      </c>
    </row>
    <row r="22" ht="12.75">
      <c r="A22" t="s">
        <v>159</v>
      </c>
    </row>
    <row r="23" ht="12.75">
      <c r="A23" t="s">
        <v>160</v>
      </c>
    </row>
    <row r="24" ht="12.75">
      <c r="A24" t="s">
        <v>161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GODRIE</dc:creator>
  <cp:keywords/>
  <dc:description/>
  <cp:lastModifiedBy>William GODRIE</cp:lastModifiedBy>
  <cp:lastPrinted>2014-12-19T16:41:57Z</cp:lastPrinted>
  <dcterms:created xsi:type="dcterms:W3CDTF">2001-06-14T05:00:11Z</dcterms:created>
  <dcterms:modified xsi:type="dcterms:W3CDTF">2015-02-08T17:08:59Z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1c3-3PFfwR1kgMqI6VDI564rltWJvnrP8WOotrEv2za4</vt:lpwstr>
  </property>
  <property fmtid="{D5CDD505-2E9C-101B-9397-08002B2CF9AE}" pid="3" name="Google.Documents.MergeIncapabilityFlags">
    <vt:i4>0</vt:i4>
  </property>
  <property fmtid="{D5CDD505-2E9C-101B-9397-08002B2CF9AE}" pid="4" name="Google.Documents.PluginVersion">
    <vt:lpwstr>2.0.2662.553</vt:lpwstr>
  </property>
  <property fmtid="{D5CDD505-2E9C-101B-9397-08002B2CF9AE}" pid="5" name="Google.Documents.PreviousRevisionId">
    <vt:lpwstr>17419072665072023339</vt:lpwstr>
  </property>
  <property fmtid="{D5CDD505-2E9C-101B-9397-08002B2CF9AE}" pid="6" name="Google.Documents.RevisionId">
    <vt:lpwstr>16715024663511486440</vt:lpwstr>
  </property>
  <property fmtid="{D5CDD505-2E9C-101B-9397-08002B2CF9AE}" pid="7" name="Google.Documents.Tracking">
    <vt:lpwstr>true</vt:lpwstr>
  </property>
</Properties>
</file>